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BF1" lockStructure="1"/>
  <bookViews>
    <workbookView xWindow="9670" yWindow="-10" windowWidth="9540" windowHeight="8100" activeTab="1"/>
  </bookViews>
  <sheets>
    <sheet name="Setup" sheetId="1" r:id="rId1"/>
    <sheet name="Matches" sheetId="2" r:id="rId2"/>
    <sheet name="Calculator" sheetId="3" state="hidden" r:id="rId3"/>
    <sheet name="Language" sheetId="4" state="hidden" r:id="rId4"/>
    <sheet name="License" sheetId="5" r:id="rId5"/>
    <sheet name="About" sheetId="6" r:id="rId6"/>
  </sheets>
  <definedNames>
    <definedName name="Countries">Language!$C$1:$J$1</definedName>
    <definedName name="Flag1">INDIRECT(Calculator!$BQ$40)</definedName>
    <definedName name="Flag10">INDIRECT(Calculator!$BQ$49)</definedName>
    <definedName name="Flag11">INDIRECT(Calculator!$BQ$50)</definedName>
    <definedName name="Flag12">INDIRECT(Calculator!$BQ$51)</definedName>
    <definedName name="Flag13">INDIRECT(Calculator!$BQ$52)</definedName>
    <definedName name="Flag14">INDIRECT(Calculator!$BQ$53)</definedName>
    <definedName name="Flag15">INDIRECT(Calculator!$BQ$54)</definedName>
    <definedName name="Flag16">INDIRECT(Calculator!$BQ$55)</definedName>
    <definedName name="Flag17">INDIRECT(Calculator!$BQ$56)</definedName>
    <definedName name="Flag18">INDIRECT(Calculator!$BQ$57)</definedName>
    <definedName name="Flag19">INDIRECT(Calculator!$BQ$58)</definedName>
    <definedName name="Flag2">INDIRECT(Calculator!$BQ$41)</definedName>
    <definedName name="Flag20">INDIRECT(Calculator!$BQ$59)</definedName>
    <definedName name="Flag21">INDIRECT(Calculator!$BQ$60)</definedName>
    <definedName name="Flag22">INDIRECT(Calculator!$BQ$61)</definedName>
    <definedName name="Flag23">INDIRECT(Calculator!$BQ$62)</definedName>
    <definedName name="Flag24">INDIRECT(Calculator!$BQ$63)</definedName>
    <definedName name="Flag25">INDIRECT(Calculator!$BQ$64)</definedName>
    <definedName name="Flag26">INDIRECT(Calculator!$BQ$65)</definedName>
    <definedName name="Flag27">INDIRECT(Calculator!$BQ$66)</definedName>
    <definedName name="Flag28">INDIRECT(Calculator!$BQ$67)</definedName>
    <definedName name="Flag29">INDIRECT(Calculator!$BQ$68)</definedName>
    <definedName name="Flag3">INDIRECT(Calculator!$BQ$42)</definedName>
    <definedName name="Flag30">INDIRECT(Calculator!$BQ$69)</definedName>
    <definedName name="Flag31">INDIRECT(Calculator!$BQ$70)</definedName>
    <definedName name="Flag32">INDIRECT(Calculator!$BQ$71)</definedName>
    <definedName name="Flag33">INDIRECT(Calculator!$BQ$72)</definedName>
    <definedName name="Flag34">INDIRECT(Calculator!$BQ$73)</definedName>
    <definedName name="Flag35">INDIRECT(Calculator!$BQ$74)</definedName>
    <definedName name="Flag4">INDIRECT(Calculator!$BQ$43)</definedName>
    <definedName name="Flag5">INDIRECT(Calculator!$BQ$44)</definedName>
    <definedName name="Flag6">INDIRECT(Calculator!$BQ$45)</definedName>
    <definedName name="Flag7">INDIRECT(Calculator!$BQ$46)</definedName>
    <definedName name="Flag8">INDIRECT(Calculator!$BQ$47)</definedName>
    <definedName name="Flag9">INDIRECT(Calculator!$BQ$48)</definedName>
    <definedName name="GroupA">Calculator!$BY$7</definedName>
    <definedName name="GroupB">Calculator!$BY$13</definedName>
    <definedName name="GroupC">Calculator!$BY$19</definedName>
    <definedName name="GroupD">Calculator!$BY$25</definedName>
    <definedName name="GroupE">Calculator!$BY$31</definedName>
    <definedName name="GroupF">Calculator!$BY$37</definedName>
    <definedName name="GroupG">Calculator!$BY$43</definedName>
    <definedName name="GroupH">Calculator!$BY$49</definedName>
    <definedName name="LanguageRef">Language!$C$1:$I$1</definedName>
    <definedName name="_xlnm.Print_Area" localSheetId="1">Matches!$B$2:$W$69</definedName>
    <definedName name="_xlnm.Print_Area" localSheetId="0">Setup!$A$4:$F$114</definedName>
    <definedName name="Team">Calculator!$BO$7:$BO$38</definedName>
    <definedName name="TimeZoneData">Setup!$C$4</definedName>
    <definedName name="TimeZoneList">Calculator!$BS$7:$BS$56</definedName>
    <definedName name="Translation">Language!$C$3:$I$111</definedName>
    <definedName name="TransRef">Language!$B$3:$B$111</definedName>
  </definedNames>
  <calcPr calcId="145621"/>
</workbook>
</file>

<file path=xl/calcChain.xml><?xml version="1.0" encoding="utf-8"?>
<calcChain xmlns="http://schemas.openxmlformats.org/spreadsheetml/2006/main">
  <c r="K38" i="2" l="1"/>
  <c r="K37" i="2"/>
  <c r="F38" i="2"/>
  <c r="F37" i="2"/>
  <c r="K23" i="2"/>
  <c r="K22" i="2"/>
  <c r="F23" i="2"/>
  <c r="F22" i="2"/>
  <c r="K7" i="2"/>
  <c r="K5" i="2"/>
  <c r="F7" i="2"/>
  <c r="F5" i="2"/>
  <c r="P66" i="2" l="1"/>
  <c r="P62" i="2"/>
  <c r="P53" i="2"/>
  <c r="P46" i="2"/>
  <c r="P40" i="2"/>
  <c r="P34" i="2"/>
  <c r="P28" i="2"/>
  <c r="P22" i="2"/>
  <c r="K20" i="2"/>
  <c r="F20" i="2"/>
  <c r="K19" i="2"/>
  <c r="F19" i="2"/>
  <c r="K18" i="2"/>
  <c r="F18" i="2"/>
  <c r="K17" i="2"/>
  <c r="F17" i="2"/>
  <c r="P16" i="2"/>
  <c r="K16" i="2"/>
  <c r="F16" i="2"/>
  <c r="K15" i="2"/>
  <c r="F15" i="2"/>
  <c r="K14" i="2"/>
  <c r="F14" i="2"/>
  <c r="K13" i="2"/>
  <c r="F13" i="2"/>
  <c r="K12" i="2"/>
  <c r="F12" i="2"/>
  <c r="K11" i="2"/>
  <c r="F11" i="2"/>
  <c r="P10" i="2"/>
  <c r="K10" i="2"/>
  <c r="F10" i="2"/>
  <c r="K9" i="2"/>
  <c r="F9" i="2"/>
  <c r="K8" i="2"/>
  <c r="F8" i="2"/>
  <c r="K6" i="2"/>
  <c r="F6" i="2"/>
  <c r="P4" i="2"/>
  <c r="K69" i="2" l="1"/>
  <c r="F69" i="2"/>
  <c r="P68" i="2"/>
  <c r="K68" i="2"/>
  <c r="F68" i="2"/>
  <c r="K67" i="2"/>
  <c r="F67" i="2"/>
  <c r="K66" i="2"/>
  <c r="F66" i="2"/>
  <c r="K65" i="2"/>
  <c r="F65" i="2"/>
  <c r="P64" i="2"/>
  <c r="K64" i="2"/>
  <c r="F64" i="2"/>
  <c r="K63" i="2"/>
  <c r="F63" i="2"/>
  <c r="K62" i="2"/>
  <c r="F62" i="2"/>
  <c r="P57" i="2"/>
  <c r="B53" i="2"/>
  <c r="B4" i="2"/>
  <c r="P3" i="2"/>
  <c r="N3" i="2"/>
  <c r="K3" i="2"/>
  <c r="H3" i="2"/>
  <c r="F3" i="2"/>
  <c r="E3" i="2"/>
  <c r="D3" i="2"/>
  <c r="B3" i="2"/>
  <c r="B2" i="2"/>
  <c r="B34" i="3" l="1"/>
  <c r="I107" i="4" l="1"/>
  <c r="I108" i="4"/>
  <c r="I109" i="4"/>
  <c r="I110" i="4"/>
  <c r="I111" i="4"/>
  <c r="B107" i="4"/>
  <c r="B108" i="4"/>
  <c r="B109" i="4"/>
  <c r="B110" i="4"/>
  <c r="B111" i="4"/>
  <c r="I106" i="4" l="1"/>
  <c r="B106" i="4"/>
  <c r="I105" i="4"/>
  <c r="B105" i="4"/>
  <c r="I104" i="4"/>
  <c r="B104" i="4"/>
  <c r="I103" i="4"/>
  <c r="B103" i="4"/>
  <c r="I102" i="4"/>
  <c r="B102" i="4"/>
  <c r="I101" i="4"/>
  <c r="B101" i="4"/>
  <c r="I100" i="4"/>
  <c r="B100" i="4"/>
  <c r="I99" i="4"/>
  <c r="B99" i="4"/>
  <c r="I98" i="4"/>
  <c r="B98" i="4"/>
  <c r="I97" i="4"/>
  <c r="B97" i="4"/>
  <c r="I96" i="4"/>
  <c r="B96" i="4"/>
  <c r="I95" i="4"/>
  <c r="B95" i="4"/>
  <c r="I94" i="4"/>
  <c r="B94" i="4"/>
  <c r="I93" i="4"/>
  <c r="B93" i="4"/>
  <c r="I92" i="4"/>
  <c r="B92" i="4"/>
  <c r="I91" i="4"/>
  <c r="B91" i="4"/>
  <c r="I90" i="4"/>
  <c r="B90" i="4"/>
  <c r="I89" i="4"/>
  <c r="B89" i="4"/>
  <c r="I88" i="4"/>
  <c r="B88" i="4"/>
  <c r="I87" i="4"/>
  <c r="B87" i="4"/>
  <c r="I86" i="4"/>
  <c r="B86" i="4"/>
  <c r="I85" i="4"/>
  <c r="B85" i="4"/>
  <c r="I84" i="4"/>
  <c r="B84" i="4"/>
  <c r="I83" i="4"/>
  <c r="B83" i="4"/>
  <c r="I82" i="4"/>
  <c r="B82" i="4"/>
  <c r="I81" i="4"/>
  <c r="B81" i="4"/>
  <c r="I80" i="4"/>
  <c r="B80" i="4"/>
  <c r="I79" i="4"/>
  <c r="B79" i="4"/>
  <c r="I78" i="4"/>
  <c r="B78" i="4"/>
  <c r="I77" i="4"/>
  <c r="B77" i="4"/>
  <c r="I76" i="4"/>
  <c r="B76" i="4"/>
  <c r="I75" i="4"/>
  <c r="B75" i="4"/>
  <c r="I74" i="4"/>
  <c r="B74" i="4"/>
  <c r="I73" i="4"/>
  <c r="B73" i="4"/>
  <c r="I72" i="4"/>
  <c r="B72" i="4"/>
  <c r="I71" i="4"/>
  <c r="B71" i="4"/>
  <c r="I70" i="4"/>
  <c r="B70" i="4"/>
  <c r="I69" i="4"/>
  <c r="B69" i="4"/>
  <c r="I68" i="4"/>
  <c r="B68" i="4"/>
  <c r="I67" i="4"/>
  <c r="B67" i="4"/>
  <c r="I66" i="4"/>
  <c r="B66" i="4"/>
  <c r="I65" i="4"/>
  <c r="B65" i="4"/>
  <c r="I64" i="4"/>
  <c r="B64" i="4"/>
  <c r="I63" i="4"/>
  <c r="B63" i="4"/>
  <c r="I62" i="4"/>
  <c r="B62" i="4"/>
  <c r="I61" i="4"/>
  <c r="B61" i="4"/>
  <c r="I60" i="4"/>
  <c r="B60" i="4"/>
  <c r="I59" i="4"/>
  <c r="B59" i="4"/>
  <c r="I58" i="4"/>
  <c r="B58" i="4"/>
  <c r="I57" i="4"/>
  <c r="B57" i="4"/>
  <c r="I56" i="4"/>
  <c r="B56" i="4"/>
  <c r="I55" i="4"/>
  <c r="B55" i="4"/>
  <c r="I54" i="4"/>
  <c r="B54" i="4"/>
  <c r="I53" i="4"/>
  <c r="I52" i="4"/>
  <c r="B52" i="4"/>
  <c r="I51" i="4"/>
  <c r="B51" i="4"/>
  <c r="I50" i="4"/>
  <c r="B50" i="4"/>
  <c r="I49" i="4"/>
  <c r="B49" i="4"/>
  <c r="I48" i="4"/>
  <c r="B48" i="4"/>
  <c r="I47" i="4"/>
  <c r="B47" i="4"/>
  <c r="I46" i="4"/>
  <c r="B46" i="4"/>
  <c r="I45" i="4"/>
  <c r="B45" i="4"/>
  <c r="I44" i="4"/>
  <c r="B44" i="4"/>
  <c r="I43" i="4"/>
  <c r="B43" i="4"/>
  <c r="I42" i="4"/>
  <c r="B42" i="4"/>
  <c r="I41" i="4"/>
  <c r="B41" i="4"/>
  <c r="I40" i="4"/>
  <c r="B40" i="4"/>
  <c r="I39" i="4"/>
  <c r="B39" i="4"/>
  <c r="I38" i="4"/>
  <c r="B38" i="4"/>
  <c r="I37" i="4"/>
  <c r="B37" i="4"/>
  <c r="I36" i="4"/>
  <c r="B36" i="4"/>
  <c r="I35" i="4"/>
  <c r="B35" i="4"/>
  <c r="I34" i="4"/>
  <c r="B34" i="4"/>
  <c r="I33" i="4"/>
  <c r="B33" i="4"/>
  <c r="I32" i="4"/>
  <c r="B32" i="4"/>
  <c r="I31" i="4"/>
  <c r="B31" i="4"/>
  <c r="I30" i="4"/>
  <c r="B30" i="4"/>
  <c r="I29" i="4"/>
  <c r="B29" i="4"/>
  <c r="I28" i="4"/>
  <c r="B28" i="4"/>
  <c r="I27" i="4"/>
  <c r="B27" i="4"/>
  <c r="I26" i="4"/>
  <c r="B26" i="4"/>
  <c r="I25" i="4"/>
  <c r="B25" i="4"/>
  <c r="I24" i="4"/>
  <c r="B24" i="4"/>
  <c r="I23" i="4"/>
  <c r="B23" i="4"/>
  <c r="I22" i="4"/>
  <c r="B22" i="4"/>
  <c r="I21" i="4"/>
  <c r="B21" i="4"/>
  <c r="I20" i="4"/>
  <c r="B20" i="4"/>
  <c r="I19" i="4"/>
  <c r="B19" i="4"/>
  <c r="I18" i="4"/>
  <c r="B18" i="4"/>
  <c r="I17" i="4"/>
  <c r="B17" i="4"/>
  <c r="I16" i="4"/>
  <c r="B16" i="4"/>
  <c r="I15" i="4"/>
  <c r="B15" i="4"/>
  <c r="I14" i="4"/>
  <c r="B14" i="4"/>
  <c r="I13" i="4"/>
  <c r="B13" i="4"/>
  <c r="I12" i="4"/>
  <c r="B12" i="4"/>
  <c r="I11" i="4"/>
  <c r="B11" i="4"/>
  <c r="I10" i="4"/>
  <c r="B10" i="4"/>
  <c r="I9" i="4"/>
  <c r="B9" i="4"/>
  <c r="I8" i="4"/>
  <c r="B8" i="4"/>
  <c r="I7" i="4"/>
  <c r="B7" i="4"/>
  <c r="I6" i="4"/>
  <c r="B6" i="4"/>
  <c r="I5" i="4"/>
  <c r="B5" i="4"/>
  <c r="I4" i="4"/>
  <c r="B4" i="4"/>
  <c r="I3" i="4"/>
  <c r="B3" i="4"/>
  <c r="I1" i="4"/>
  <c r="BX70" i="3"/>
  <c r="BV70" i="3"/>
  <c r="BX69" i="3"/>
  <c r="BV69" i="3"/>
  <c r="BX68" i="3"/>
  <c r="BV68" i="3"/>
  <c r="BX67" i="3"/>
  <c r="BV67" i="3"/>
  <c r="BX66" i="3"/>
  <c r="BV66" i="3"/>
  <c r="BX65" i="3"/>
  <c r="E64" i="2" s="1"/>
  <c r="D64" i="2" s="1"/>
  <c r="BV65" i="3"/>
  <c r="BX64" i="3"/>
  <c r="BV64" i="3"/>
  <c r="BX63" i="3"/>
  <c r="BV63" i="3"/>
  <c r="BX62" i="3"/>
  <c r="BV62" i="3"/>
  <c r="BX61" i="3"/>
  <c r="BV61" i="3"/>
  <c r="BX60" i="3"/>
  <c r="BV60" i="3"/>
  <c r="BX59" i="3"/>
  <c r="BV59" i="3"/>
  <c r="BX58" i="3"/>
  <c r="BV58" i="3"/>
  <c r="BX57" i="3"/>
  <c r="BV57" i="3"/>
  <c r="BX56" i="3"/>
  <c r="BV56" i="3"/>
  <c r="BX55" i="3"/>
  <c r="BV55" i="3"/>
  <c r="BX54" i="3"/>
  <c r="BV54" i="3"/>
  <c r="BX53" i="3"/>
  <c r="BV53" i="3"/>
  <c r="BX52" i="3"/>
  <c r="BV52" i="3"/>
  <c r="BX51" i="3"/>
  <c r="BV51" i="3"/>
  <c r="BX50" i="3"/>
  <c r="BV50" i="3"/>
  <c r="BX49" i="3"/>
  <c r="BV49" i="3"/>
  <c r="BX48" i="3"/>
  <c r="BV48" i="3"/>
  <c r="BX47" i="3"/>
  <c r="BV47" i="3"/>
  <c r="BX46" i="3"/>
  <c r="BV46" i="3"/>
  <c r="BX45" i="3"/>
  <c r="BV45" i="3"/>
  <c r="BX44" i="3"/>
  <c r="BV44" i="3"/>
  <c r="BX43" i="3"/>
  <c r="BV43" i="3"/>
  <c r="BX42" i="3"/>
  <c r="BV42" i="3"/>
  <c r="BX41" i="3"/>
  <c r="E39" i="2" s="1"/>
  <c r="D39" i="2" s="1"/>
  <c r="BV41" i="3"/>
  <c r="BX40" i="3"/>
  <c r="E38" i="2" s="1"/>
  <c r="D38" i="2" s="1"/>
  <c r="BV40" i="3"/>
  <c r="BX39" i="3"/>
  <c r="BV39" i="3"/>
  <c r="BX38" i="3"/>
  <c r="E36" i="2" s="1"/>
  <c r="D36" i="2" s="1"/>
  <c r="BV38" i="3"/>
  <c r="BX37" i="3"/>
  <c r="E35" i="2" s="1"/>
  <c r="D35" i="2" s="1"/>
  <c r="BV37" i="3"/>
  <c r="BX36" i="3"/>
  <c r="BV36" i="3"/>
  <c r="BX35" i="3"/>
  <c r="BV35" i="3"/>
  <c r="M35" i="3"/>
  <c r="L35" i="3"/>
  <c r="BX34" i="3"/>
  <c r="E32" i="2" s="1"/>
  <c r="D32" i="2" s="1"/>
  <c r="BV34" i="3"/>
  <c r="M34" i="3"/>
  <c r="L34" i="3"/>
  <c r="BX33" i="3"/>
  <c r="E31" i="2" s="1"/>
  <c r="D31" i="2" s="1"/>
  <c r="BV33" i="3"/>
  <c r="M33" i="3"/>
  <c r="L33" i="3"/>
  <c r="BZ32" i="3"/>
  <c r="C29" i="3" s="1"/>
  <c r="BO34" i="3" s="1"/>
  <c r="BX32" i="3"/>
  <c r="E30" i="2" s="1"/>
  <c r="D30" i="2" s="1"/>
  <c r="BV32" i="3"/>
  <c r="AU32" i="3"/>
  <c r="AR32" i="3"/>
  <c r="AQ32" i="3"/>
  <c r="M32" i="3"/>
  <c r="L32" i="3"/>
  <c r="BX31" i="3"/>
  <c r="E29" i="2" s="1"/>
  <c r="D29" i="2" s="1"/>
  <c r="BV31" i="3"/>
  <c r="M31" i="3"/>
  <c r="L31" i="3"/>
  <c r="BX30" i="3"/>
  <c r="E28" i="2" s="1"/>
  <c r="D28" i="2" s="1"/>
  <c r="BV30" i="3"/>
  <c r="M30" i="3"/>
  <c r="L30" i="3"/>
  <c r="BX29" i="3"/>
  <c r="E27" i="2" s="1"/>
  <c r="D27" i="2" s="1"/>
  <c r="BV29" i="3"/>
  <c r="M29" i="3"/>
  <c r="L29" i="3"/>
  <c r="BX28" i="3"/>
  <c r="E26" i="2" s="1"/>
  <c r="D26" i="2" s="1"/>
  <c r="BV28" i="3"/>
  <c r="AU28" i="3"/>
  <c r="AR28" i="3"/>
  <c r="AQ28" i="3"/>
  <c r="M28" i="3"/>
  <c r="L28" i="3"/>
  <c r="BX27" i="3"/>
  <c r="BV27" i="3"/>
  <c r="M27" i="3"/>
  <c r="L27" i="3"/>
  <c r="BX26" i="3"/>
  <c r="BV26" i="3"/>
  <c r="M26" i="3"/>
  <c r="L26" i="3"/>
  <c r="BX25" i="3"/>
  <c r="BV25" i="3"/>
  <c r="M25" i="3"/>
  <c r="L25" i="3"/>
  <c r="BX24" i="3"/>
  <c r="BV24" i="3"/>
  <c r="AU24" i="3"/>
  <c r="AR24" i="3"/>
  <c r="AQ24" i="3"/>
  <c r="M24" i="3"/>
  <c r="L24" i="3"/>
  <c r="BX23" i="3"/>
  <c r="E21" i="2" s="1"/>
  <c r="D21" i="2" s="1"/>
  <c r="BV23" i="3"/>
  <c r="M23" i="3"/>
  <c r="L23" i="3"/>
  <c r="BX22" i="3"/>
  <c r="E20" i="2" s="1"/>
  <c r="D20" i="2" s="1"/>
  <c r="BV22" i="3"/>
  <c r="M22" i="3"/>
  <c r="L22" i="3"/>
  <c r="BX21" i="3"/>
  <c r="E19" i="2" s="1"/>
  <c r="D19" i="2" s="1"/>
  <c r="BV21" i="3"/>
  <c r="M21" i="3"/>
  <c r="L21" i="3"/>
  <c r="BX20" i="3"/>
  <c r="E18" i="2" s="1"/>
  <c r="D18" i="2" s="1"/>
  <c r="BV20" i="3"/>
  <c r="AU20" i="3"/>
  <c r="AR20" i="3"/>
  <c r="AQ20" i="3"/>
  <c r="M20" i="3"/>
  <c r="L20" i="3"/>
  <c r="BX19" i="3"/>
  <c r="E17" i="2" s="1"/>
  <c r="D17" i="2" s="1"/>
  <c r="BV19" i="3"/>
  <c r="M19" i="3"/>
  <c r="L19" i="3"/>
  <c r="BX18" i="3"/>
  <c r="E16" i="2" s="1"/>
  <c r="D16" i="2" s="1"/>
  <c r="BV18" i="3"/>
  <c r="M18" i="3"/>
  <c r="L18" i="3"/>
  <c r="BX17" i="3"/>
  <c r="E15" i="2" s="1"/>
  <c r="D15" i="2" s="1"/>
  <c r="BV17" i="3"/>
  <c r="M17" i="3"/>
  <c r="L17" i="3"/>
  <c r="BX16" i="3"/>
  <c r="E14" i="2" s="1"/>
  <c r="D14" i="2" s="1"/>
  <c r="BV16" i="3"/>
  <c r="AU16" i="3"/>
  <c r="AR16" i="3"/>
  <c r="AQ16" i="3"/>
  <c r="M16" i="3"/>
  <c r="L16" i="3"/>
  <c r="BX15" i="3"/>
  <c r="BV15" i="3"/>
  <c r="M15" i="3"/>
  <c r="L15" i="3"/>
  <c r="BX14" i="3"/>
  <c r="E12" i="2" s="1"/>
  <c r="D12" i="2" s="1"/>
  <c r="BV14" i="3"/>
  <c r="M14" i="3"/>
  <c r="L14" i="3"/>
  <c r="BX13" i="3"/>
  <c r="E11" i="2" s="1"/>
  <c r="D11" i="2" s="1"/>
  <c r="BV13" i="3"/>
  <c r="M13" i="3"/>
  <c r="L13" i="3"/>
  <c r="BX12" i="3"/>
  <c r="E10" i="2" s="1"/>
  <c r="D10" i="2" s="1"/>
  <c r="BV12" i="3"/>
  <c r="AU12" i="3"/>
  <c r="AR12" i="3"/>
  <c r="AQ12" i="3"/>
  <c r="M12" i="3"/>
  <c r="L12" i="3"/>
  <c r="BX11" i="3"/>
  <c r="BV11" i="3"/>
  <c r="M11" i="3"/>
  <c r="L11" i="3"/>
  <c r="B11" i="3"/>
  <c r="B15" i="3" s="1"/>
  <c r="B19" i="3" s="1"/>
  <c r="B23" i="3" s="1"/>
  <c r="B27" i="3" s="1"/>
  <c r="B31" i="3" s="1"/>
  <c r="B35" i="3" s="1"/>
  <c r="BX10" i="3"/>
  <c r="E8" i="2" s="1"/>
  <c r="D8" i="2" s="1"/>
  <c r="BV10" i="3"/>
  <c r="M10" i="3"/>
  <c r="L10" i="3"/>
  <c r="B10" i="3"/>
  <c r="B14" i="3" s="1"/>
  <c r="B18" i="3" s="1"/>
  <c r="B22" i="3" s="1"/>
  <c r="B26" i="3" s="1"/>
  <c r="B30" i="3" s="1"/>
  <c r="BX9" i="3"/>
  <c r="E7" i="2" s="1"/>
  <c r="D7" i="2" s="1"/>
  <c r="BV9" i="3"/>
  <c r="M9" i="3"/>
  <c r="L9" i="3"/>
  <c r="B9" i="3"/>
  <c r="B13" i="3" s="1"/>
  <c r="B17" i="3" s="1"/>
  <c r="B21" i="3" s="1"/>
  <c r="B25" i="3" s="1"/>
  <c r="B29" i="3" s="1"/>
  <c r="B33" i="3" s="1"/>
  <c r="BX8" i="3"/>
  <c r="E6" i="2" s="1"/>
  <c r="D6" i="2" s="1"/>
  <c r="BV8" i="3"/>
  <c r="AU8" i="3"/>
  <c r="AR8" i="3"/>
  <c r="AQ8" i="3"/>
  <c r="M8" i="3"/>
  <c r="L8" i="3"/>
  <c r="B8" i="3"/>
  <c r="B12" i="3" s="1"/>
  <c r="B16" i="3" s="1"/>
  <c r="B20" i="3" s="1"/>
  <c r="B24" i="3" s="1"/>
  <c r="B28" i="3" s="1"/>
  <c r="B32" i="3" s="1"/>
  <c r="BZ7" i="3"/>
  <c r="C4" i="3" s="1"/>
  <c r="BO7" i="3" s="1"/>
  <c r="BX7" i="3"/>
  <c r="E5" i="2" s="1"/>
  <c r="D5" i="2" s="1"/>
  <c r="BV7" i="3"/>
  <c r="BT7" i="3"/>
  <c r="M7" i="3"/>
  <c r="L7" i="3"/>
  <c r="M6" i="3"/>
  <c r="L6" i="3"/>
  <c r="M5" i="3"/>
  <c r="L5" i="3"/>
  <c r="M4" i="3"/>
  <c r="L4" i="3"/>
  <c r="E69" i="2"/>
  <c r="D69" i="2" s="1"/>
  <c r="E68" i="2"/>
  <c r="D68" i="2" s="1"/>
  <c r="E67" i="2"/>
  <c r="D67" i="2" s="1"/>
  <c r="E66" i="2"/>
  <c r="D66" i="2" s="1"/>
  <c r="E65" i="2"/>
  <c r="D65" i="2" s="1"/>
  <c r="E63" i="2"/>
  <c r="D63" i="2" s="1"/>
  <c r="E62" i="2"/>
  <c r="D62" i="2" s="1"/>
  <c r="E61" i="2"/>
  <c r="D61" i="2" s="1"/>
  <c r="E60" i="2"/>
  <c r="D60" i="2" s="1"/>
  <c r="E59" i="2"/>
  <c r="D59" i="2" s="1"/>
  <c r="E58" i="2"/>
  <c r="D58" i="2" s="1"/>
  <c r="E57" i="2"/>
  <c r="D57" i="2" s="1"/>
  <c r="E56" i="2"/>
  <c r="D56" i="2" s="1"/>
  <c r="E55" i="2"/>
  <c r="D55" i="2" s="1"/>
  <c r="E54" i="2"/>
  <c r="D54" i="2" s="1"/>
  <c r="E52" i="2"/>
  <c r="D52" i="2" s="1"/>
  <c r="E51" i="2"/>
  <c r="D51" i="2" s="1"/>
  <c r="E50" i="2"/>
  <c r="D50" i="2" s="1"/>
  <c r="E49" i="2"/>
  <c r="D49" i="2" s="1"/>
  <c r="E48" i="2"/>
  <c r="D48" i="2" s="1"/>
  <c r="E47" i="2"/>
  <c r="D47" i="2" s="1"/>
  <c r="E46" i="2"/>
  <c r="D46" i="2" s="1"/>
  <c r="E45" i="2"/>
  <c r="D45" i="2" s="1"/>
  <c r="E44" i="2"/>
  <c r="D44" i="2" s="1"/>
  <c r="E43" i="2"/>
  <c r="D43" i="2" s="1"/>
  <c r="E42" i="2"/>
  <c r="D42" i="2" s="1"/>
  <c r="E41" i="2"/>
  <c r="D41" i="2" s="1"/>
  <c r="E40" i="2"/>
  <c r="D40" i="2" s="1"/>
  <c r="E37" i="2"/>
  <c r="D37" i="2" s="1"/>
  <c r="E34" i="2"/>
  <c r="D34" i="2" s="1"/>
  <c r="E33" i="2"/>
  <c r="D33" i="2" s="1"/>
  <c r="E25" i="2"/>
  <c r="D25" i="2" s="1"/>
  <c r="E24" i="2"/>
  <c r="D24" i="2" s="1"/>
  <c r="E23" i="2"/>
  <c r="D23" i="2" s="1"/>
  <c r="E22" i="2"/>
  <c r="D22" i="2" s="1"/>
  <c r="F46" i="2"/>
  <c r="E13" i="2"/>
  <c r="D13" i="2" s="1"/>
  <c r="E9" i="2"/>
  <c r="D9" i="2" s="1"/>
  <c r="K47" i="2" l="1"/>
  <c r="K51" i="2"/>
  <c r="BZ35" i="3"/>
  <c r="C32" i="3" s="1"/>
  <c r="BO37" i="3" s="1"/>
  <c r="F49" i="2"/>
  <c r="BZ12" i="3"/>
  <c r="C9" i="3" s="1"/>
  <c r="BO12" i="3" s="1"/>
  <c r="BZ17" i="3"/>
  <c r="C14" i="3" s="1"/>
  <c r="BO17" i="3" s="1"/>
  <c r="BZ22" i="3"/>
  <c r="C19" i="3" s="1"/>
  <c r="BO22" i="3" s="1"/>
  <c r="BZ27" i="3"/>
  <c r="C24" i="3" s="1"/>
  <c r="BO27" i="3" s="1"/>
  <c r="BZ28" i="3"/>
  <c r="C25" i="3" s="1"/>
  <c r="BO28" i="3" s="1"/>
  <c r="K30" i="2"/>
  <c r="BZ8" i="3"/>
  <c r="C5" i="3" s="1"/>
  <c r="BO8" i="3" s="1"/>
  <c r="BZ18" i="3"/>
  <c r="C15" i="3" s="1"/>
  <c r="BO18" i="3" s="1"/>
  <c r="BZ23" i="3"/>
  <c r="C20" i="3" s="1"/>
  <c r="BZ24" i="3"/>
  <c r="C21" i="3" s="1"/>
  <c r="BO24" i="3" s="1"/>
  <c r="BZ29" i="3"/>
  <c r="C26" i="3" s="1"/>
  <c r="BO29" i="3" s="1"/>
  <c r="BZ38" i="3"/>
  <c r="C35" i="3" s="1"/>
  <c r="BO36" i="3" s="1"/>
  <c r="BM145" i="3"/>
  <c r="K48" i="2"/>
  <c r="BZ13" i="3"/>
  <c r="C10" i="3" s="1"/>
  <c r="BO13" i="3" s="1"/>
  <c r="K40" i="2"/>
  <c r="K43" i="2"/>
  <c r="K42" i="2"/>
  <c r="F45" i="2"/>
  <c r="F29" i="2"/>
  <c r="K52" i="2"/>
  <c r="BZ14" i="3"/>
  <c r="C11" i="3" s="1"/>
  <c r="BZ19" i="3"/>
  <c r="C16" i="3" s="1"/>
  <c r="BZ20" i="3"/>
  <c r="C17" i="3" s="1"/>
  <c r="BO20" i="3" s="1"/>
  <c r="BZ25" i="3"/>
  <c r="C22" i="3" s="1"/>
  <c r="BO25" i="3" s="1"/>
  <c r="BZ30" i="3"/>
  <c r="C27" i="3" s="1"/>
  <c r="BZ33" i="3"/>
  <c r="C30" i="3" s="1"/>
  <c r="BZ37" i="3"/>
  <c r="C34" i="3" s="1"/>
  <c r="BO35" i="3" s="1"/>
  <c r="BM147" i="3"/>
  <c r="K29" i="2"/>
  <c r="BZ10" i="3"/>
  <c r="C7" i="3" s="1"/>
  <c r="BO10" i="3" s="1"/>
  <c r="K39" i="2"/>
  <c r="F44" i="2"/>
  <c r="F42" i="2"/>
  <c r="F43" i="2"/>
  <c r="F41" i="2"/>
  <c r="K45" i="2"/>
  <c r="K49" i="2"/>
  <c r="F36" i="2"/>
  <c r="BZ9" i="3"/>
  <c r="C6" i="3" s="1"/>
  <c r="BO9" i="3" s="1"/>
  <c r="BZ11" i="3"/>
  <c r="C8" i="3" s="1"/>
  <c r="BO11" i="3" s="1"/>
  <c r="BZ15" i="3"/>
  <c r="C12" i="3" s="1"/>
  <c r="BO15" i="3" s="1"/>
  <c r="BZ16" i="3"/>
  <c r="C13" i="3" s="1"/>
  <c r="BO16" i="3" s="1"/>
  <c r="BZ21" i="3"/>
  <c r="C18" i="3" s="1"/>
  <c r="BO21" i="3" s="1"/>
  <c r="BZ26" i="3"/>
  <c r="C23" i="3" s="1"/>
  <c r="BO26" i="3" s="1"/>
  <c r="BZ31" i="3"/>
  <c r="C28" i="3" s="1"/>
  <c r="BO33" i="3" s="1"/>
  <c r="BZ34" i="3"/>
  <c r="C31" i="3" s="1"/>
  <c r="BO32" i="3" s="1"/>
  <c r="BZ36" i="3"/>
  <c r="C33" i="3" s="1"/>
  <c r="BO38" i="3" s="1"/>
  <c r="K25" i="2"/>
  <c r="K44" i="2"/>
  <c r="K28" i="2"/>
  <c r="K31" i="2"/>
  <c r="K35" i="2"/>
  <c r="F50" i="2"/>
  <c r="F34" i="2"/>
  <c r="K46" i="2"/>
  <c r="BO14" i="3"/>
  <c r="BO19" i="3"/>
  <c r="BO23" i="3"/>
  <c r="BO30" i="3"/>
  <c r="BO31" i="3"/>
  <c r="F35" i="2" l="1"/>
  <c r="F48" i="2"/>
  <c r="K34" i="2"/>
  <c r="F52" i="2"/>
  <c r="F33" i="2"/>
  <c r="F51" i="2"/>
  <c r="K33" i="2"/>
  <c r="F39" i="2"/>
  <c r="F21" i="2"/>
  <c r="K27" i="2"/>
  <c r="K41" i="2"/>
  <c r="K26" i="2"/>
  <c r="F40" i="2"/>
  <c r="K21" i="2"/>
  <c r="F24" i="2"/>
  <c r="K50" i="2"/>
  <c r="K24" i="2"/>
  <c r="F32" i="2"/>
  <c r="F47" i="2"/>
  <c r="K36" i="2"/>
  <c r="F25" i="2"/>
  <c r="K32" i="2"/>
  <c r="F31" i="2"/>
  <c r="F28" i="2"/>
  <c r="F27" i="2"/>
  <c r="H16" i="3" s="1"/>
  <c r="F26" i="2"/>
  <c r="F30" i="2"/>
  <c r="G4" i="3" l="1"/>
  <c r="I22" i="3"/>
  <c r="E31" i="3"/>
  <c r="I34" i="3"/>
  <c r="F10" i="3"/>
  <c r="H4" i="3"/>
  <c r="E21" i="3"/>
  <c r="G33" i="3"/>
  <c r="E25" i="3"/>
  <c r="G8" i="3"/>
  <c r="F18" i="3"/>
  <c r="I32" i="3"/>
  <c r="H12" i="3"/>
  <c r="H5" i="3"/>
  <c r="I27" i="3"/>
  <c r="G30" i="3"/>
  <c r="H32" i="3"/>
  <c r="G17" i="3"/>
  <c r="E32" i="3"/>
  <c r="G26" i="3"/>
  <c r="H8" i="3"/>
  <c r="F34" i="3"/>
  <c r="G13" i="3"/>
  <c r="H23" i="3"/>
  <c r="J23" i="3" s="1"/>
  <c r="G16" i="3"/>
  <c r="I19" i="3"/>
  <c r="H28" i="3"/>
  <c r="E12" i="3"/>
  <c r="H6" i="3"/>
  <c r="E30" i="3"/>
  <c r="E18" i="3"/>
  <c r="K18" i="3" s="1"/>
  <c r="F27" i="3"/>
  <c r="G6" i="3"/>
  <c r="E22" i="3"/>
  <c r="H9" i="3"/>
  <c r="F5" i="3"/>
  <c r="G22" i="3"/>
  <c r="G7" i="3"/>
  <c r="F32" i="3"/>
  <c r="K32" i="3" s="1"/>
  <c r="E6" i="3"/>
  <c r="H15" i="3"/>
  <c r="E33" i="3"/>
  <c r="E13" i="3"/>
  <c r="H29" i="3"/>
  <c r="F15" i="3"/>
  <c r="F8" i="3"/>
  <c r="G32" i="3"/>
  <c r="E29" i="3"/>
  <c r="F28" i="3"/>
  <c r="F25" i="3"/>
  <c r="F24" i="3"/>
  <c r="E19" i="3"/>
  <c r="I15" i="3"/>
  <c r="G12" i="3"/>
  <c r="I35" i="3"/>
  <c r="I33" i="3"/>
  <c r="E17" i="3"/>
  <c r="G5" i="3"/>
  <c r="H35" i="3"/>
  <c r="G25" i="3"/>
  <c r="H21" i="3"/>
  <c r="E4" i="3"/>
  <c r="I11" i="3"/>
  <c r="I28" i="3"/>
  <c r="J28" i="3" s="1"/>
  <c r="G18" i="3"/>
  <c r="E9" i="3"/>
  <c r="I13" i="3"/>
  <c r="I5" i="3"/>
  <c r="I23" i="3"/>
  <c r="H34" i="3"/>
  <c r="H33" i="3"/>
  <c r="G31" i="3"/>
  <c r="G23" i="3"/>
  <c r="E16" i="3"/>
  <c r="G20" i="3"/>
  <c r="F4" i="3"/>
  <c r="F6" i="3"/>
  <c r="I26" i="3"/>
  <c r="H20" i="3"/>
  <c r="G34" i="3"/>
  <c r="F35" i="3"/>
  <c r="F29" i="3"/>
  <c r="G24" i="3"/>
  <c r="G21" i="3"/>
  <c r="H14" i="3"/>
  <c r="E8" i="3"/>
  <c r="D8" i="3" s="1"/>
  <c r="I4" i="3"/>
  <c r="H19" i="3"/>
  <c r="H7" i="3"/>
  <c r="F21" i="3"/>
  <c r="H25" i="3"/>
  <c r="G15" i="3"/>
  <c r="I14" i="3"/>
  <c r="G11" i="3"/>
  <c r="F11" i="3"/>
  <c r="I16" i="3"/>
  <c r="J16" i="3" s="1"/>
  <c r="H27" i="3"/>
  <c r="G19" i="3"/>
  <c r="E5" i="3"/>
  <c r="I31" i="3"/>
  <c r="F33" i="3"/>
  <c r="E27" i="3"/>
  <c r="I21" i="3"/>
  <c r="E23" i="3"/>
  <c r="I17" i="3"/>
  <c r="F13" i="3"/>
  <c r="H13" i="3"/>
  <c r="J13" i="3" s="1"/>
  <c r="I8" i="3"/>
  <c r="H26" i="3"/>
  <c r="F26" i="3"/>
  <c r="H22" i="3"/>
  <c r="J22" i="3" s="1"/>
  <c r="E7" i="3"/>
  <c r="G29" i="3"/>
  <c r="F17" i="3"/>
  <c r="G27" i="3"/>
  <c r="E35" i="3"/>
  <c r="F30" i="3"/>
  <c r="F22" i="3"/>
  <c r="K22" i="3" s="1"/>
  <c r="G14" i="3"/>
  <c r="E15" i="3"/>
  <c r="F12" i="3"/>
  <c r="H11" i="3"/>
  <c r="H30" i="3"/>
  <c r="H24" i="3"/>
  <c r="G35" i="3"/>
  <c r="E34" i="3"/>
  <c r="K34" i="3" s="1"/>
  <c r="G28" i="3"/>
  <c r="F23" i="3"/>
  <c r="F19" i="3"/>
  <c r="I9" i="3"/>
  <c r="F7" i="3"/>
  <c r="H10" i="3"/>
  <c r="H18" i="3"/>
  <c r="H31" i="3"/>
  <c r="I25" i="3"/>
  <c r="J25" i="3" s="1"/>
  <c r="F20" i="3"/>
  <c r="F14" i="3"/>
  <c r="H17" i="3"/>
  <c r="I10" i="3"/>
  <c r="F9" i="3"/>
  <c r="I18" i="3"/>
  <c r="I24" i="3"/>
  <c r="F16" i="3"/>
  <c r="G9" i="3"/>
  <c r="E28" i="3"/>
  <c r="F31" i="3"/>
  <c r="E24" i="3"/>
  <c r="D24" i="3" s="1"/>
  <c r="E26" i="3"/>
  <c r="E20" i="3"/>
  <c r="E14" i="3"/>
  <c r="E10" i="3"/>
  <c r="E11" i="3"/>
  <c r="G10" i="3"/>
  <c r="I30" i="3"/>
  <c r="I7" i="3"/>
  <c r="I29" i="3"/>
  <c r="I6" i="3"/>
  <c r="I12" i="3"/>
  <c r="I20" i="3"/>
  <c r="D6" i="3" l="1"/>
  <c r="D32" i="3"/>
  <c r="D31" i="3"/>
  <c r="K29" i="3"/>
  <c r="J34" i="3"/>
  <c r="J29" i="3"/>
  <c r="K12" i="3"/>
  <c r="J9" i="3"/>
  <c r="D13" i="3"/>
  <c r="K21" i="3"/>
  <c r="J27" i="3"/>
  <c r="K5" i="3"/>
  <c r="K19" i="3"/>
  <c r="K6" i="3"/>
  <c r="J32" i="3"/>
  <c r="J20" i="3"/>
  <c r="J11" i="3"/>
  <c r="J14" i="3"/>
  <c r="K35" i="3"/>
  <c r="K24" i="3"/>
  <c r="J6" i="3"/>
  <c r="J17" i="3"/>
  <c r="K17" i="3"/>
  <c r="K15" i="3"/>
  <c r="D5" i="3"/>
  <c r="J7" i="3"/>
  <c r="J8" i="3"/>
  <c r="J12" i="3"/>
  <c r="K10" i="3"/>
  <c r="J26" i="3"/>
  <c r="K30" i="3"/>
  <c r="K4" i="3"/>
  <c r="D23" i="3"/>
  <c r="J4" i="3"/>
  <c r="D30" i="3"/>
  <c r="K9" i="3"/>
  <c r="J5" i="3"/>
  <c r="D17" i="3"/>
  <c r="D26" i="3"/>
  <c r="J19" i="3"/>
  <c r="K7" i="3"/>
  <c r="J33" i="3"/>
  <c r="D27" i="3"/>
  <c r="D11" i="3"/>
  <c r="D9" i="3"/>
  <c r="D4" i="3"/>
  <c r="D25" i="3"/>
  <c r="K8" i="3"/>
  <c r="D33" i="3"/>
  <c r="D7" i="3"/>
  <c r="D22" i="3"/>
  <c r="D14" i="3"/>
  <c r="D20" i="3"/>
  <c r="D28" i="3"/>
  <c r="K28" i="3"/>
  <c r="K31" i="3"/>
  <c r="K25" i="3"/>
  <c r="K33" i="3"/>
  <c r="D18" i="3"/>
  <c r="D21" i="3"/>
  <c r="D34" i="3"/>
  <c r="K14" i="3"/>
  <c r="D29" i="3"/>
  <c r="D16" i="3"/>
  <c r="J15" i="3"/>
  <c r="K13" i="3"/>
  <c r="K16" i="3"/>
  <c r="D19" i="3"/>
  <c r="D12" i="3"/>
  <c r="J30" i="3"/>
  <c r="K20" i="3"/>
  <c r="J10" i="3"/>
  <c r="K23" i="3"/>
  <c r="J24" i="3"/>
  <c r="D15" i="3"/>
  <c r="D35" i="3"/>
  <c r="K27" i="3"/>
  <c r="K11" i="3"/>
  <c r="J35" i="3"/>
  <c r="J18" i="3"/>
  <c r="D10" i="3"/>
  <c r="J31" i="3"/>
  <c r="K26" i="3"/>
  <c r="J21" i="3"/>
  <c r="N17" i="3" l="1"/>
  <c r="N32" i="3"/>
  <c r="N15" i="3"/>
  <c r="N4" i="3"/>
  <c r="N28" i="3"/>
  <c r="N29" i="3"/>
  <c r="N13" i="3"/>
  <c r="N5" i="3"/>
  <c r="N6" i="3"/>
  <c r="N30" i="3"/>
  <c r="N7" i="3"/>
  <c r="N9" i="3"/>
  <c r="N31" i="3"/>
  <c r="N25" i="3"/>
  <c r="N14" i="3"/>
  <c r="N19" i="3"/>
  <c r="N18" i="3"/>
  <c r="N11" i="3"/>
  <c r="N12" i="3"/>
  <c r="O15" i="3" s="1"/>
  <c r="P15" i="3" s="1"/>
  <c r="N35" i="3"/>
  <c r="N24" i="3"/>
  <c r="N27" i="3"/>
  <c r="N23" i="3"/>
  <c r="N34" i="3"/>
  <c r="N26" i="3"/>
  <c r="N20" i="3"/>
  <c r="N22" i="3"/>
  <c r="N8" i="3"/>
  <c r="N33" i="3"/>
  <c r="N10" i="3"/>
  <c r="N21" i="3"/>
  <c r="N16" i="3"/>
  <c r="Q29" i="3" l="1"/>
  <c r="O29" i="3"/>
  <c r="P29" i="3" s="1"/>
  <c r="O23" i="3"/>
  <c r="P23" i="3" s="1"/>
  <c r="Q13" i="3"/>
  <c r="O24" i="3"/>
  <c r="P24" i="3" s="1"/>
  <c r="Q12" i="3"/>
  <c r="O13" i="3"/>
  <c r="P13" i="3" s="1"/>
  <c r="O12" i="3"/>
  <c r="P12" i="3" s="1"/>
  <c r="Q15" i="3"/>
  <c r="R15" i="3" s="1"/>
  <c r="Q11" i="3"/>
  <c r="Q28" i="3"/>
  <c r="O7" i="3"/>
  <c r="P7" i="3" s="1"/>
  <c r="Q4" i="3"/>
  <c r="O27" i="3"/>
  <c r="P27" i="3" s="1"/>
  <c r="O4" i="3"/>
  <c r="P4" i="3" s="1"/>
  <c r="Q16" i="3"/>
  <c r="Q27" i="3"/>
  <c r="Q31" i="3"/>
  <c r="O6" i="3"/>
  <c r="P6" i="3" s="1"/>
  <c r="Q6" i="3"/>
  <c r="Q30" i="3"/>
  <c r="O5" i="3"/>
  <c r="P5" i="3" s="1"/>
  <c r="Q5" i="3"/>
  <c r="O31" i="3"/>
  <c r="P31" i="3" s="1"/>
  <c r="O30" i="3"/>
  <c r="P30" i="3" s="1"/>
  <c r="R30" i="3" s="1"/>
  <c r="O28" i="3"/>
  <c r="P28" i="3" s="1"/>
  <c r="Q7" i="3"/>
  <c r="O22" i="3"/>
  <c r="P22" i="3" s="1"/>
  <c r="Q9" i="3"/>
  <c r="O19" i="3"/>
  <c r="P19" i="3" s="1"/>
  <c r="Q23" i="3"/>
  <c r="R23" i="3" s="1"/>
  <c r="O14" i="3"/>
  <c r="P14" i="3" s="1"/>
  <c r="O9" i="3"/>
  <c r="P9" i="3" s="1"/>
  <c r="Q14" i="3"/>
  <c r="O11" i="3"/>
  <c r="P11" i="3" s="1"/>
  <c r="O17" i="3"/>
  <c r="P17" i="3" s="1"/>
  <c r="O8" i="3"/>
  <c r="P8" i="3" s="1"/>
  <c r="O18" i="3"/>
  <c r="P18" i="3" s="1"/>
  <c r="Q32" i="3"/>
  <c r="Q26" i="3"/>
  <c r="O25" i="3"/>
  <c r="P25" i="3" s="1"/>
  <c r="Q25" i="3"/>
  <c r="Q35" i="3"/>
  <c r="Q34" i="3"/>
  <c r="O32" i="3"/>
  <c r="P32" i="3" s="1"/>
  <c r="Q24" i="3"/>
  <c r="O10" i="3"/>
  <c r="P10" i="3" s="1"/>
  <c r="Q10" i="3"/>
  <c r="O33" i="3"/>
  <c r="P33" i="3" s="1"/>
  <c r="O16" i="3"/>
  <c r="P16" i="3" s="1"/>
  <c r="O34" i="3"/>
  <c r="P34" i="3" s="1"/>
  <c r="O35" i="3"/>
  <c r="P35" i="3" s="1"/>
  <c r="Q33" i="3"/>
  <c r="O26" i="3"/>
  <c r="P26" i="3" s="1"/>
  <c r="Q8" i="3"/>
  <c r="Q18" i="3"/>
  <c r="Q17" i="3"/>
  <c r="Q19" i="3"/>
  <c r="R19" i="3" s="1"/>
  <c r="Q22" i="3"/>
  <c r="O20" i="3"/>
  <c r="P20" i="3" s="1"/>
  <c r="Q20" i="3"/>
  <c r="Q21" i="3"/>
  <c r="O21" i="3"/>
  <c r="P21" i="3" s="1"/>
  <c r="R12" i="3" l="1"/>
  <c r="S12" i="3" s="1"/>
  <c r="R29" i="3"/>
  <c r="R9" i="3"/>
  <c r="R7" i="3"/>
  <c r="R6" i="3"/>
  <c r="R28" i="3"/>
  <c r="R13" i="3"/>
  <c r="R16" i="3"/>
  <c r="R4" i="3"/>
  <c r="R24" i="3"/>
  <c r="R14" i="3"/>
  <c r="R27" i="3"/>
  <c r="R17" i="3"/>
  <c r="R18" i="3"/>
  <c r="R31" i="3"/>
  <c r="R11" i="3"/>
  <c r="R5" i="3"/>
  <c r="R22" i="3"/>
  <c r="R32" i="3"/>
  <c r="R35" i="3"/>
  <c r="R10" i="3"/>
  <c r="R34" i="3"/>
  <c r="R26" i="3"/>
  <c r="R33" i="3"/>
  <c r="R25" i="3"/>
  <c r="R8" i="3"/>
  <c r="R21" i="3"/>
  <c r="R20" i="3"/>
  <c r="S14" i="3" l="1"/>
  <c r="S13" i="3"/>
  <c r="S19" i="3"/>
  <c r="S6" i="3"/>
  <c r="S15" i="3"/>
  <c r="U12" i="3" s="1"/>
  <c r="V12" i="3" s="1"/>
  <c r="S29" i="3"/>
  <c r="S7" i="3"/>
  <c r="S30" i="3"/>
  <c r="S28" i="3"/>
  <c r="S31" i="3"/>
  <c r="S32" i="3"/>
  <c r="S26" i="3"/>
  <c r="S17" i="3"/>
  <c r="S16" i="3"/>
  <c r="S11" i="3"/>
  <c r="S18" i="3"/>
  <c r="S23" i="3"/>
  <c r="S20" i="3"/>
  <c r="S27" i="3"/>
  <c r="S5" i="3"/>
  <c r="S4" i="3"/>
  <c r="S22" i="3"/>
  <c r="S25" i="3"/>
  <c r="S10" i="3"/>
  <c r="S24" i="3"/>
  <c r="S21" i="3"/>
  <c r="S8" i="3"/>
  <c r="S33" i="3"/>
  <c r="S34" i="3"/>
  <c r="S35" i="3"/>
  <c r="S9" i="3"/>
  <c r="U20" i="3" l="1"/>
  <c r="U14" i="3"/>
  <c r="V14" i="3" s="1"/>
  <c r="X13" i="3" s="1"/>
  <c r="A12" i="3"/>
  <c r="U13" i="3"/>
  <c r="V13" i="3" s="1"/>
  <c r="W12" i="3" s="1"/>
  <c r="U27" i="3"/>
  <c r="V27" i="3" s="1"/>
  <c r="U7" i="3"/>
  <c r="A7" i="3" s="1"/>
  <c r="U30" i="3"/>
  <c r="U15" i="3"/>
  <c r="V15" i="3" s="1"/>
  <c r="Y14" i="3" s="1"/>
  <c r="U33" i="3"/>
  <c r="A33" i="3" s="1"/>
  <c r="U9" i="3"/>
  <c r="V9" i="3" s="1"/>
  <c r="U31" i="3"/>
  <c r="V31" i="3" s="1"/>
  <c r="U28" i="3"/>
  <c r="V28" i="3" s="1"/>
  <c r="U19" i="3"/>
  <c r="A19" i="3" s="1"/>
  <c r="U29" i="3"/>
  <c r="A29" i="3" s="1"/>
  <c r="U23" i="3"/>
  <c r="U11" i="3"/>
  <c r="V11" i="3" s="1"/>
  <c r="U5" i="3"/>
  <c r="V5" i="3" s="1"/>
  <c r="U16" i="3"/>
  <c r="V16" i="3" s="1"/>
  <c r="U4" i="3"/>
  <c r="A4" i="3" s="1"/>
  <c r="U6" i="3"/>
  <c r="V6" i="3" s="1"/>
  <c r="X5" i="3" s="1"/>
  <c r="U35" i="3"/>
  <c r="V35" i="3" s="1"/>
  <c r="U17" i="3"/>
  <c r="U24" i="3"/>
  <c r="V24" i="3" s="1"/>
  <c r="U21" i="3"/>
  <c r="A21" i="3" s="1"/>
  <c r="U34" i="3"/>
  <c r="A34" i="3" s="1"/>
  <c r="U26" i="3"/>
  <c r="A26" i="3" s="1"/>
  <c r="U8" i="3"/>
  <c r="U25" i="3"/>
  <c r="V25" i="3" s="1"/>
  <c r="U18" i="3"/>
  <c r="U22" i="3"/>
  <c r="V22" i="3" s="1"/>
  <c r="U32" i="3"/>
  <c r="A32" i="3" s="1"/>
  <c r="V20" i="3"/>
  <c r="U10" i="3"/>
  <c r="A10" i="3" s="1"/>
  <c r="V23" i="3"/>
  <c r="A23" i="3"/>
  <c r="V33" i="3"/>
  <c r="Y30" i="3"/>
  <c r="A27" i="3"/>
  <c r="V26" i="3" l="1"/>
  <c r="A31" i="3"/>
  <c r="A28" i="3"/>
  <c r="A14" i="3"/>
  <c r="A13" i="3"/>
  <c r="V29" i="3"/>
  <c r="W28" i="3" s="1"/>
  <c r="W29" i="3" s="1"/>
  <c r="A9" i="3"/>
  <c r="A22" i="3"/>
  <c r="A15" i="3"/>
  <c r="V19" i="3"/>
  <c r="Y18" i="3" s="1"/>
  <c r="Y19" i="3" s="1"/>
  <c r="BB18" i="3" s="1"/>
  <c r="W8" i="3"/>
  <c r="A20" i="3"/>
  <c r="V7" i="3"/>
  <c r="Y6" i="3" s="1"/>
  <c r="BH6" i="3" s="1"/>
  <c r="A5" i="3"/>
  <c r="A11" i="3"/>
  <c r="A30" i="3"/>
  <c r="V30" i="3"/>
  <c r="X29" i="3" s="1"/>
  <c r="X30" i="3" s="1"/>
  <c r="V21" i="3"/>
  <c r="W20" i="3" s="1"/>
  <c r="A6" i="3"/>
  <c r="A16" i="3"/>
  <c r="A35" i="3"/>
  <c r="A24" i="3"/>
  <c r="Y10" i="3"/>
  <c r="Y11" i="3" s="1"/>
  <c r="BA10" i="3" s="1"/>
  <c r="V4" i="3"/>
  <c r="V32" i="3"/>
  <c r="A25" i="3"/>
  <c r="V17" i="3"/>
  <c r="W16" i="3" s="1"/>
  <c r="A17" i="3"/>
  <c r="V34" i="3"/>
  <c r="X33" i="3" s="1"/>
  <c r="V8" i="3"/>
  <c r="A8" i="3"/>
  <c r="A18" i="3"/>
  <c r="V18" i="3"/>
  <c r="X17" i="3" s="1"/>
  <c r="AS17" i="3" s="1"/>
  <c r="V10" i="3"/>
  <c r="X9" i="3" s="1"/>
  <c r="AT9" i="3" s="1"/>
  <c r="W32" i="3"/>
  <c r="X21" i="3"/>
  <c r="X25" i="3"/>
  <c r="W4" i="3"/>
  <c r="Y26" i="3"/>
  <c r="Y34" i="3"/>
  <c r="Y31" i="3"/>
  <c r="AY30" i="3" s="1"/>
  <c r="X6" i="3"/>
  <c r="W13" i="3"/>
  <c r="Y15" i="3"/>
  <c r="BA14" i="3" s="1"/>
  <c r="W9" i="3"/>
  <c r="X14" i="3"/>
  <c r="Y22" i="3"/>
  <c r="W24" i="3"/>
  <c r="BE6" i="3" l="1"/>
  <c r="BF6" i="3"/>
  <c r="Y7" i="3"/>
  <c r="BB6" i="3" s="1"/>
  <c r="AX14" i="3"/>
  <c r="W17" i="3"/>
  <c r="AT17" i="3"/>
  <c r="AV17" i="3"/>
  <c r="X18" i="3"/>
  <c r="AS18" i="3" s="1"/>
  <c r="AX10" i="3"/>
  <c r="AV9" i="3"/>
  <c r="X10" i="3"/>
  <c r="X11" i="3" s="1"/>
  <c r="AO10" i="3" s="1"/>
  <c r="AS9" i="3"/>
  <c r="AU9" i="3" s="1"/>
  <c r="BA18" i="3"/>
  <c r="BC18" i="3" s="1"/>
  <c r="AY18" i="3"/>
  <c r="AX30" i="3"/>
  <c r="BD30" i="3" s="1"/>
  <c r="AX18" i="3"/>
  <c r="AZ18" i="3"/>
  <c r="AY14" i="3"/>
  <c r="AZ14" i="3"/>
  <c r="BB14" i="3"/>
  <c r="BC14" i="3" s="1"/>
  <c r="BG6" i="3"/>
  <c r="BB30" i="3"/>
  <c r="BA30" i="3"/>
  <c r="BA11" i="3"/>
  <c r="BB11" i="3"/>
  <c r="AZ11" i="3"/>
  <c r="AY11" i="3"/>
  <c r="AX11" i="3"/>
  <c r="Y23" i="3"/>
  <c r="BA22" i="3" s="1"/>
  <c r="AY10" i="3"/>
  <c r="X15" i="3"/>
  <c r="AO14" i="3" s="1"/>
  <c r="AU17" i="3"/>
  <c r="W14" i="3"/>
  <c r="Y27" i="3"/>
  <c r="AZ26" i="3" s="1"/>
  <c r="X34" i="3"/>
  <c r="X22" i="3"/>
  <c r="AV21" i="3"/>
  <c r="AT21" i="3"/>
  <c r="AS21" i="3"/>
  <c r="W21" i="3"/>
  <c r="X31" i="3"/>
  <c r="AM30" i="3" s="1"/>
  <c r="W18" i="3"/>
  <c r="AZ10" i="3"/>
  <c r="BB10" i="3"/>
  <c r="BC10" i="3" s="1"/>
  <c r="BA19" i="3"/>
  <c r="BB19" i="3"/>
  <c r="AX19" i="3"/>
  <c r="AY19" i="3"/>
  <c r="AZ19" i="3"/>
  <c r="AZ30" i="3"/>
  <c r="W25" i="3"/>
  <c r="BH7" i="3"/>
  <c r="AX7" i="3"/>
  <c r="W10" i="3"/>
  <c r="BA15" i="3"/>
  <c r="BB15" i="3"/>
  <c r="AX15" i="3"/>
  <c r="AZ15" i="3"/>
  <c r="AY15" i="3"/>
  <c r="X7" i="3"/>
  <c r="AM6" i="3" s="1"/>
  <c r="Y35" i="3"/>
  <c r="AY34" i="3" s="1"/>
  <c r="BH34" i="3"/>
  <c r="BF34" i="3"/>
  <c r="BE34" i="3"/>
  <c r="AZ34" i="3"/>
  <c r="W33" i="3"/>
  <c r="W30" i="3"/>
  <c r="BB31" i="3"/>
  <c r="BA31" i="3"/>
  <c r="AX31" i="3"/>
  <c r="AY31" i="3"/>
  <c r="AZ31" i="3"/>
  <c r="W5" i="3"/>
  <c r="X26" i="3"/>
  <c r="AT10" i="3"/>
  <c r="AS10" i="3"/>
  <c r="AV10" i="3"/>
  <c r="AX6" i="3" l="1"/>
  <c r="AT18" i="3"/>
  <c r="X19" i="3"/>
  <c r="AM18" i="3" s="1"/>
  <c r="AV18" i="3"/>
  <c r="AY7" i="3"/>
  <c r="BD7" i="3" s="1"/>
  <c r="BF7" i="3"/>
  <c r="AY6" i="3"/>
  <c r="AZ7" i="3"/>
  <c r="BA7" i="3"/>
  <c r="BA6" i="3"/>
  <c r="BC6" i="3" s="1"/>
  <c r="BB7" i="3"/>
  <c r="BE7" i="3"/>
  <c r="AZ6" i="3"/>
  <c r="BD14" i="3"/>
  <c r="AY26" i="3"/>
  <c r="BD18" i="3"/>
  <c r="AN10" i="3"/>
  <c r="BD10" i="3"/>
  <c r="BC30" i="3"/>
  <c r="AN29" i="3"/>
  <c r="AX22" i="3"/>
  <c r="AY22" i="3"/>
  <c r="BB22" i="3"/>
  <c r="AN14" i="3"/>
  <c r="AN13" i="3"/>
  <c r="AL14" i="3"/>
  <c r="AP14" i="3"/>
  <c r="AQ14" i="3" s="1"/>
  <c r="AM14" i="3"/>
  <c r="AZ22" i="3"/>
  <c r="AP29" i="3"/>
  <c r="AL30" i="3"/>
  <c r="AR30" i="3" s="1"/>
  <c r="BD6" i="3"/>
  <c r="AN30" i="3"/>
  <c r="AP30" i="3"/>
  <c r="AO30" i="3"/>
  <c r="BD31" i="3"/>
  <c r="AO29" i="3"/>
  <c r="BA26" i="3"/>
  <c r="BD15" i="3"/>
  <c r="AL6" i="3"/>
  <c r="AR6" i="3" s="1"/>
  <c r="AU10" i="3"/>
  <c r="AP6" i="3"/>
  <c r="AX34" i="3"/>
  <c r="BD34" i="3" s="1"/>
  <c r="BB34" i="3"/>
  <c r="AN6" i="3"/>
  <c r="AO6" i="3"/>
  <c r="AL18" i="3"/>
  <c r="AR18" i="3" s="1"/>
  <c r="W31" i="3"/>
  <c r="AC30" i="3" s="1"/>
  <c r="BC31" i="3"/>
  <c r="W34" i="3"/>
  <c r="BG34" i="3"/>
  <c r="BE35" i="3"/>
  <c r="BA35" i="3"/>
  <c r="BH35" i="3"/>
  <c r="BF35" i="3"/>
  <c r="BB35" i="3"/>
  <c r="AX35" i="3"/>
  <c r="AZ35" i="3"/>
  <c r="AY35" i="3"/>
  <c r="AU18" i="3"/>
  <c r="W26" i="3"/>
  <c r="BC19" i="3"/>
  <c r="AU21" i="3"/>
  <c r="AV22" i="3"/>
  <c r="X23" i="3"/>
  <c r="AN22" i="3" s="1"/>
  <c r="AT22" i="3"/>
  <c r="AS22" i="3"/>
  <c r="AS19" i="3"/>
  <c r="AO19" i="3"/>
  <c r="AT19" i="3"/>
  <c r="AP19" i="3"/>
  <c r="AV19" i="3"/>
  <c r="AL19" i="3"/>
  <c r="AN19" i="3"/>
  <c r="AM19" i="3"/>
  <c r="AO17" i="3"/>
  <c r="AP17" i="3"/>
  <c r="AL17" i="3"/>
  <c r="AM17" i="3"/>
  <c r="AN17" i="3"/>
  <c r="W19" i="3"/>
  <c r="AB16" i="3" s="1"/>
  <c r="X35" i="3"/>
  <c r="AN34" i="3" s="1"/>
  <c r="BD11" i="3"/>
  <c r="AS11" i="3"/>
  <c r="AO11" i="3"/>
  <c r="AT11" i="3"/>
  <c r="AV11" i="3"/>
  <c r="AP11" i="3"/>
  <c r="AM11" i="3"/>
  <c r="AL11" i="3"/>
  <c r="AN11" i="3"/>
  <c r="AM9" i="3"/>
  <c r="AL9" i="3"/>
  <c r="AO9" i="3"/>
  <c r="AN9" i="3"/>
  <c r="AL10" i="3"/>
  <c r="X27" i="3"/>
  <c r="AP26" i="3" s="1"/>
  <c r="AN18" i="3"/>
  <c r="BA27" i="3"/>
  <c r="BB27" i="3"/>
  <c r="AZ27" i="3"/>
  <c r="AX27" i="3"/>
  <c r="AY27" i="3"/>
  <c r="BC22" i="3"/>
  <c r="BC11" i="3"/>
  <c r="AP9" i="3"/>
  <c r="AM10" i="3"/>
  <c r="AP10" i="3"/>
  <c r="AQ10" i="3" s="1"/>
  <c r="W6" i="3"/>
  <c r="BA34" i="3"/>
  <c r="AS7" i="3"/>
  <c r="AO7" i="3"/>
  <c r="AV7" i="3"/>
  <c r="AT7" i="3"/>
  <c r="AP7" i="3"/>
  <c r="AN7" i="3"/>
  <c r="AL7" i="3"/>
  <c r="AM7" i="3"/>
  <c r="AL5" i="3"/>
  <c r="AO5" i="3"/>
  <c r="AN5" i="3"/>
  <c r="AP5" i="3"/>
  <c r="AM5" i="3"/>
  <c r="AP18" i="3"/>
  <c r="AO18" i="3"/>
  <c r="BC15" i="3"/>
  <c r="W11" i="3"/>
  <c r="Z8" i="3" s="1"/>
  <c r="BG7" i="3"/>
  <c r="BD19" i="3"/>
  <c r="AT31" i="3"/>
  <c r="AP31" i="3"/>
  <c r="AS31" i="3"/>
  <c r="AV31" i="3"/>
  <c r="AO31" i="3"/>
  <c r="AL31" i="3"/>
  <c r="AN31" i="3"/>
  <c r="AM31" i="3"/>
  <c r="AM29" i="3"/>
  <c r="AL29" i="3"/>
  <c r="W22" i="3"/>
  <c r="AO21" i="3"/>
  <c r="AX26" i="3"/>
  <c r="BD26" i="3" s="1"/>
  <c r="BB26" i="3"/>
  <c r="W15" i="3"/>
  <c r="AA14" i="3" s="1"/>
  <c r="AS15" i="3"/>
  <c r="AO15" i="3"/>
  <c r="AV15" i="3"/>
  <c r="AT15" i="3"/>
  <c r="AP15" i="3"/>
  <c r="AN15" i="3"/>
  <c r="AM15" i="3"/>
  <c r="AL15" i="3"/>
  <c r="AO13" i="3"/>
  <c r="AL13" i="3"/>
  <c r="AM13" i="3"/>
  <c r="AP13" i="3"/>
  <c r="BA23" i="3"/>
  <c r="BB23" i="3"/>
  <c r="AX23" i="3"/>
  <c r="AZ23" i="3"/>
  <c r="AY23" i="3"/>
  <c r="BC7" i="3" l="1"/>
  <c r="AR5" i="3"/>
  <c r="AB10" i="3"/>
  <c r="BD22" i="3"/>
  <c r="BC34" i="3"/>
  <c r="Z28" i="3"/>
  <c r="AA29" i="3"/>
  <c r="AQ30" i="3"/>
  <c r="AR14" i="3"/>
  <c r="AC29" i="3"/>
  <c r="AA28" i="3"/>
  <c r="AB28" i="3"/>
  <c r="AD29" i="3"/>
  <c r="AB29" i="3"/>
  <c r="AO22" i="3"/>
  <c r="AB30" i="3"/>
  <c r="AQ29" i="3"/>
  <c r="AM33" i="3"/>
  <c r="AD28" i="3"/>
  <c r="AQ6" i="3"/>
  <c r="AB8" i="3"/>
  <c r="AR10" i="3"/>
  <c r="Z16" i="3"/>
  <c r="AL22" i="3"/>
  <c r="AA18" i="3"/>
  <c r="AM22" i="3"/>
  <c r="AP22" i="3"/>
  <c r="AC17" i="3"/>
  <c r="BC26" i="3"/>
  <c r="AD17" i="3"/>
  <c r="AM26" i="3"/>
  <c r="AA12" i="3"/>
  <c r="AQ7" i="3"/>
  <c r="AA30" i="3"/>
  <c r="AP33" i="3"/>
  <c r="AO34" i="3"/>
  <c r="AC10" i="3"/>
  <c r="AL26" i="3"/>
  <c r="AQ19" i="3"/>
  <c r="Z30" i="3"/>
  <c r="AC14" i="3"/>
  <c r="AQ13" i="3"/>
  <c r="AU15" i="3"/>
  <c r="BC23" i="3"/>
  <c r="Z10" i="3"/>
  <c r="AR11" i="3"/>
  <c r="AC16" i="3"/>
  <c r="Z18" i="3"/>
  <c r="AC8" i="3"/>
  <c r="AU31" i="3"/>
  <c r="AA8" i="3"/>
  <c r="AF8" i="3" s="1"/>
  <c r="AA10" i="3"/>
  <c r="AD10" i="3"/>
  <c r="AQ18" i="3"/>
  <c r="AU11" i="3"/>
  <c r="AA16" i="3"/>
  <c r="AD18" i="3"/>
  <c r="AC18" i="3"/>
  <c r="AU22" i="3"/>
  <c r="BD35" i="3"/>
  <c r="BD27" i="3"/>
  <c r="AR29" i="3"/>
  <c r="AQ31" i="3"/>
  <c r="AQ5" i="3"/>
  <c r="W7" i="3"/>
  <c r="AC4" i="3" s="1"/>
  <c r="AL25" i="3"/>
  <c r="AN26" i="3"/>
  <c r="AO26" i="3"/>
  <c r="AQ26" i="3" s="1"/>
  <c r="AL34" i="3"/>
  <c r="AC19" i="3"/>
  <c r="AD19" i="3"/>
  <c r="AA19" i="3"/>
  <c r="Z19" i="3"/>
  <c r="AB19" i="3"/>
  <c r="AB17" i="3"/>
  <c r="Z17" i="3"/>
  <c r="AA17" i="3"/>
  <c r="AQ17" i="3"/>
  <c r="AU19" i="3"/>
  <c r="W27" i="3"/>
  <c r="AC26" i="3" s="1"/>
  <c r="W35" i="3"/>
  <c r="AB32" i="3" s="1"/>
  <c r="AM25" i="3"/>
  <c r="BD23" i="3"/>
  <c r="AB14" i="3"/>
  <c r="AR13" i="3"/>
  <c r="AR15" i="3"/>
  <c r="Z14" i="3"/>
  <c r="AF14" i="3" s="1"/>
  <c r="AD14" i="3"/>
  <c r="W23" i="3"/>
  <c r="Z22" i="3" s="1"/>
  <c r="AR31" i="3"/>
  <c r="AC11" i="3"/>
  <c r="AD11" i="3"/>
  <c r="AB11" i="3"/>
  <c r="AA11" i="3"/>
  <c r="Z11" i="3"/>
  <c r="AC9" i="3"/>
  <c r="Z9" i="3"/>
  <c r="AD8" i="3"/>
  <c r="AD9" i="3"/>
  <c r="AA9" i="3"/>
  <c r="AB9" i="3"/>
  <c r="AU7" i="3"/>
  <c r="BC27" i="3"/>
  <c r="AQ9" i="3"/>
  <c r="AM34" i="3"/>
  <c r="AP34" i="3"/>
  <c r="AD16" i="3"/>
  <c r="AB18" i="3"/>
  <c r="AR17" i="3"/>
  <c r="AR19" i="3"/>
  <c r="AQ22" i="3"/>
  <c r="AS23" i="3"/>
  <c r="AO23" i="3"/>
  <c r="AV23" i="3"/>
  <c r="AT23" i="3"/>
  <c r="AP23" i="3"/>
  <c r="AL23" i="3"/>
  <c r="AN23" i="3"/>
  <c r="AM23" i="3"/>
  <c r="AN21" i="3"/>
  <c r="AP21" i="3"/>
  <c r="AQ21" i="3" s="1"/>
  <c r="AM21" i="3"/>
  <c r="AL21" i="3"/>
  <c r="BC35" i="3"/>
  <c r="AC28" i="3"/>
  <c r="AE28" i="3" s="1"/>
  <c r="AD30" i="3"/>
  <c r="AE30" i="3" s="1"/>
  <c r="AQ15" i="3"/>
  <c r="AC12" i="3"/>
  <c r="AR7" i="3"/>
  <c r="AS5" i="3" s="1"/>
  <c r="AS27" i="3"/>
  <c r="AO27" i="3"/>
  <c r="AV27" i="3"/>
  <c r="AT27" i="3"/>
  <c r="AP27" i="3"/>
  <c r="AN27" i="3"/>
  <c r="AL27" i="3"/>
  <c r="AM27" i="3"/>
  <c r="AN25" i="3"/>
  <c r="AP25" i="3"/>
  <c r="AQ11" i="3"/>
  <c r="BG35" i="3"/>
  <c r="AC15" i="3"/>
  <c r="AD15" i="3"/>
  <c r="AB15" i="3"/>
  <c r="AA15" i="3"/>
  <c r="Z15" i="3"/>
  <c r="AB13" i="3"/>
  <c r="AB12" i="3"/>
  <c r="AA13" i="3"/>
  <c r="AD12" i="3"/>
  <c r="Z13" i="3"/>
  <c r="AC13" i="3"/>
  <c r="AD13" i="3"/>
  <c r="Z12" i="3"/>
  <c r="AR9" i="3"/>
  <c r="AS35" i="3"/>
  <c r="AO35" i="3"/>
  <c r="AV35" i="3"/>
  <c r="AT35" i="3"/>
  <c r="AP35" i="3"/>
  <c r="AL35" i="3"/>
  <c r="AN35" i="3"/>
  <c r="AM35" i="3"/>
  <c r="AL33" i="3"/>
  <c r="AR33" i="3" s="1"/>
  <c r="AO33" i="3"/>
  <c r="AN33" i="3"/>
  <c r="AD31" i="3"/>
  <c r="AC31" i="3"/>
  <c r="Z31" i="3"/>
  <c r="AA31" i="3"/>
  <c r="AB31" i="3"/>
  <c r="Z29" i="3"/>
  <c r="AF29" i="3" s="1"/>
  <c r="AO25" i="3"/>
  <c r="AE29" i="3" l="1"/>
  <c r="AF10" i="3"/>
  <c r="AS29" i="3"/>
  <c r="AS30" i="3"/>
  <c r="AS6" i="3"/>
  <c r="AT5" i="3" s="1"/>
  <c r="AU5" i="3" s="1"/>
  <c r="BE18" i="3"/>
  <c r="AF28" i="3"/>
  <c r="AU27" i="3"/>
  <c r="AQ33" i="3"/>
  <c r="AF16" i="3"/>
  <c r="AD25" i="3"/>
  <c r="AR34" i="3"/>
  <c r="AE14" i="3"/>
  <c r="AD5" i="3"/>
  <c r="AB5" i="3"/>
  <c r="AR26" i="3"/>
  <c r="AC25" i="3"/>
  <c r="AQ34" i="3"/>
  <c r="AR22" i="3"/>
  <c r="AB4" i="3"/>
  <c r="AE8" i="3"/>
  <c r="Z6" i="3"/>
  <c r="AE18" i="3"/>
  <c r="AE17" i="3"/>
  <c r="Z4" i="3"/>
  <c r="AA6" i="3"/>
  <c r="AF6" i="3" s="1"/>
  <c r="AF30" i="3"/>
  <c r="AF12" i="3"/>
  <c r="AD32" i="3"/>
  <c r="AD4" i="3"/>
  <c r="AE4" i="3" s="1"/>
  <c r="AB6" i="3"/>
  <c r="AD6" i="3"/>
  <c r="AA33" i="3"/>
  <c r="AD24" i="3"/>
  <c r="AQ25" i="3"/>
  <c r="AA4" i="3"/>
  <c r="AE16" i="3"/>
  <c r="AE10" i="3"/>
  <c r="AS14" i="3"/>
  <c r="AB34" i="3"/>
  <c r="AF18" i="3"/>
  <c r="AA22" i="3"/>
  <c r="AF22" i="3" s="1"/>
  <c r="AD20" i="3"/>
  <c r="AC20" i="3"/>
  <c r="AB20" i="3"/>
  <c r="AC22" i="3"/>
  <c r="AC34" i="3"/>
  <c r="AF17" i="3"/>
  <c r="AQ35" i="3"/>
  <c r="AF13" i="3"/>
  <c r="AR27" i="3"/>
  <c r="AR25" i="3"/>
  <c r="AS25" i="3" s="1"/>
  <c r="AR35" i="3"/>
  <c r="AE13" i="3"/>
  <c r="AE15" i="3"/>
  <c r="AR23" i="3"/>
  <c r="Z20" i="3"/>
  <c r="AB22" i="3"/>
  <c r="AB24" i="3"/>
  <c r="AA26" i="3"/>
  <c r="Z24" i="3"/>
  <c r="AB26" i="3"/>
  <c r="AD26" i="3"/>
  <c r="AE26" i="3" s="1"/>
  <c r="AF15" i="3"/>
  <c r="AE12" i="3"/>
  <c r="AF9" i="3"/>
  <c r="AD22" i="3"/>
  <c r="AC24" i="3"/>
  <c r="Z26" i="3"/>
  <c r="AR21" i="3"/>
  <c r="AF11" i="3"/>
  <c r="AC35" i="3"/>
  <c r="AD35" i="3"/>
  <c r="AB35" i="3"/>
  <c r="AA35" i="3"/>
  <c r="Z35" i="3"/>
  <c r="AC32" i="3"/>
  <c r="AD33" i="3"/>
  <c r="AB33" i="3"/>
  <c r="AC33" i="3"/>
  <c r="Z33" i="3"/>
  <c r="AA32" i="3"/>
  <c r="AF19" i="3"/>
  <c r="AE19" i="3"/>
  <c r="AE31" i="3"/>
  <c r="AU35" i="3"/>
  <c r="AQ23" i="3"/>
  <c r="AE11" i="3"/>
  <c r="AA20" i="3"/>
  <c r="AS13" i="3"/>
  <c r="AT14" i="3" s="1"/>
  <c r="Z34" i="3"/>
  <c r="AC27" i="3"/>
  <c r="AD27" i="3"/>
  <c r="AA27" i="3"/>
  <c r="Z27" i="3"/>
  <c r="AB27" i="3"/>
  <c r="Z25" i="3"/>
  <c r="AB25" i="3"/>
  <c r="AA24" i="3"/>
  <c r="AA25" i="3"/>
  <c r="AC7" i="3"/>
  <c r="AD7" i="3"/>
  <c r="AA7" i="3"/>
  <c r="Z7" i="3"/>
  <c r="AB7" i="3"/>
  <c r="Z5" i="3"/>
  <c r="AC5" i="3"/>
  <c r="AA5" i="3"/>
  <c r="AF31" i="3"/>
  <c r="AQ27" i="3"/>
  <c r="AU23" i="3"/>
  <c r="AE9" i="3"/>
  <c r="AC23" i="3"/>
  <c r="AD23" i="3"/>
  <c r="AA23" i="3"/>
  <c r="Z23" i="3"/>
  <c r="AB23" i="3"/>
  <c r="AA21" i="3"/>
  <c r="AC21" i="3"/>
  <c r="AB21" i="3"/>
  <c r="Z21" i="3"/>
  <c r="AD21" i="3"/>
  <c r="Z32" i="3"/>
  <c r="AA34" i="3"/>
  <c r="AD34" i="3"/>
  <c r="AC6" i="3"/>
  <c r="AG31" i="3" l="1"/>
  <c r="AU14" i="3"/>
  <c r="AG10" i="3"/>
  <c r="AG15" i="3"/>
  <c r="AG11" i="3"/>
  <c r="AG30" i="3"/>
  <c r="AG16" i="3"/>
  <c r="AG17" i="3"/>
  <c r="AG18" i="3"/>
  <c r="AG19" i="3"/>
  <c r="AG14" i="3"/>
  <c r="AT30" i="3"/>
  <c r="AU30" i="3" s="1"/>
  <c r="AT29" i="3"/>
  <c r="AU29" i="3" s="1"/>
  <c r="AT6" i="3"/>
  <c r="AU6" i="3" s="1"/>
  <c r="AG12" i="3"/>
  <c r="AG13" i="3"/>
  <c r="AS26" i="3"/>
  <c r="AG9" i="3"/>
  <c r="AG8" i="3"/>
  <c r="AG28" i="3"/>
  <c r="AG29" i="3"/>
  <c r="BF18" i="3"/>
  <c r="BG18" i="3" s="1"/>
  <c r="BF19" i="3"/>
  <c r="AS34" i="3"/>
  <c r="AS33" i="3"/>
  <c r="AF25" i="3"/>
  <c r="AE5" i="3"/>
  <c r="AF33" i="3"/>
  <c r="AE32" i="3"/>
  <c r="AF20" i="3"/>
  <c r="AE25" i="3"/>
  <c r="AE27" i="3"/>
  <c r="AF4" i="3"/>
  <c r="AE6" i="3"/>
  <c r="AF24" i="3"/>
  <c r="AE24" i="3"/>
  <c r="AF34" i="3"/>
  <c r="AE20" i="3"/>
  <c r="AE34" i="3"/>
  <c r="AE22" i="3"/>
  <c r="AE21" i="3"/>
  <c r="AF23" i="3"/>
  <c r="AE23" i="3"/>
  <c r="AF27" i="3"/>
  <c r="AF7" i="3"/>
  <c r="AF26" i="3"/>
  <c r="AF21" i="3"/>
  <c r="AE7" i="3"/>
  <c r="AF35" i="3"/>
  <c r="AF32" i="3"/>
  <c r="AE35" i="3"/>
  <c r="AT13" i="3"/>
  <c r="AU13" i="3" s="1"/>
  <c r="AF5" i="3"/>
  <c r="AE33" i="3"/>
  <c r="AG23" i="3" l="1"/>
  <c r="AG32" i="3"/>
  <c r="AG33" i="3"/>
  <c r="AG34" i="3"/>
  <c r="AG35" i="3"/>
  <c r="AG22" i="3"/>
  <c r="AG7" i="3"/>
  <c r="AG6" i="3"/>
  <c r="AH30" i="3"/>
  <c r="AI30" i="3" s="1"/>
  <c r="AH31" i="3"/>
  <c r="AI31" i="3" s="1"/>
  <c r="AH10" i="3"/>
  <c r="AI10" i="3" s="1"/>
  <c r="AH11" i="3"/>
  <c r="AI11" i="3" s="1"/>
  <c r="AH16" i="3"/>
  <c r="AI16" i="3" s="1"/>
  <c r="AH17" i="3"/>
  <c r="AI17" i="3" s="1"/>
  <c r="AH18" i="3"/>
  <c r="AI18" i="3" s="1"/>
  <c r="AH19" i="3"/>
  <c r="BE19" i="3" s="1"/>
  <c r="BG19" i="3" s="1"/>
  <c r="AV30" i="3"/>
  <c r="AH14" i="3"/>
  <c r="AI14" i="3" s="1"/>
  <c r="AH15" i="3"/>
  <c r="AI15" i="3" s="1"/>
  <c r="AV29" i="3"/>
  <c r="AV6" i="3"/>
  <c r="AV5" i="3"/>
  <c r="AH12" i="3"/>
  <c r="AI12" i="3" s="1"/>
  <c r="AH13" i="3"/>
  <c r="AI13" i="3" s="1"/>
  <c r="AT26" i="3"/>
  <c r="AU26" i="3" s="1"/>
  <c r="AT25" i="3"/>
  <c r="AU25" i="3" s="1"/>
  <c r="BH18" i="3"/>
  <c r="AT33" i="3"/>
  <c r="AU33" i="3" s="1"/>
  <c r="AT34" i="3"/>
  <c r="AU34" i="3" s="1"/>
  <c r="AH8" i="3"/>
  <c r="AH9" i="3"/>
  <c r="AI9" i="3" s="1"/>
  <c r="BH19" i="3"/>
  <c r="AG24" i="3"/>
  <c r="AG25" i="3"/>
  <c r="AG26" i="3"/>
  <c r="AG27" i="3"/>
  <c r="AH28" i="3"/>
  <c r="AI28" i="3" s="1"/>
  <c r="AH29" i="3"/>
  <c r="AI29" i="3" s="1"/>
  <c r="AG20" i="3"/>
  <c r="AG21" i="3"/>
  <c r="AV13" i="3"/>
  <c r="AV14" i="3"/>
  <c r="AG4" i="3"/>
  <c r="AG5" i="3"/>
  <c r="AH6" i="3" l="1"/>
  <c r="AH7" i="3"/>
  <c r="AI7" i="3" s="1"/>
  <c r="AJ30" i="3"/>
  <c r="AK30" i="3" s="1"/>
  <c r="AW30" i="3" s="1"/>
  <c r="AJ31" i="3"/>
  <c r="AK31" i="3" s="1"/>
  <c r="AW31" i="3" s="1"/>
  <c r="AI6" i="3"/>
  <c r="AH20" i="3"/>
  <c r="AI20" i="3" s="1"/>
  <c r="AI19" i="3"/>
  <c r="AH32" i="3"/>
  <c r="AI32" i="3" s="1"/>
  <c r="AH33" i="3"/>
  <c r="AI33" i="3" s="1"/>
  <c r="AH34" i="3"/>
  <c r="AI34" i="3" s="1"/>
  <c r="AH35" i="3"/>
  <c r="AI35" i="3" s="1"/>
  <c r="AV25" i="3"/>
  <c r="AH22" i="3"/>
  <c r="AI22" i="3" s="1"/>
  <c r="AH23" i="3"/>
  <c r="AI23" i="3" s="1"/>
  <c r="AJ14" i="3"/>
  <c r="AK14" i="3" s="1"/>
  <c r="AW14" i="3" s="1"/>
  <c r="AJ15" i="3"/>
  <c r="AK15" i="3" s="1"/>
  <c r="AW15" i="3" s="1"/>
  <c r="AJ12" i="3"/>
  <c r="AK12" i="3" s="1"/>
  <c r="AJ13" i="3"/>
  <c r="AK13" i="3" s="1"/>
  <c r="AW13" i="3" s="1"/>
  <c r="BI13" i="3" s="1"/>
  <c r="AV26" i="3"/>
  <c r="BE14" i="3"/>
  <c r="BE15" i="3"/>
  <c r="AH21" i="3"/>
  <c r="AI21" i="3" s="1"/>
  <c r="AV33" i="3"/>
  <c r="BE10" i="3"/>
  <c r="BE11" i="3"/>
  <c r="AJ28" i="3"/>
  <c r="AK28" i="3" s="1"/>
  <c r="AW28" i="3" s="1"/>
  <c r="BI28" i="3" s="1"/>
  <c r="AJ29" i="3"/>
  <c r="AK29" i="3" s="1"/>
  <c r="AW29" i="3" s="1"/>
  <c r="BI29" i="3" s="1"/>
  <c r="AV34" i="3"/>
  <c r="BE30" i="3"/>
  <c r="BE31" i="3"/>
  <c r="AH24" i="3"/>
  <c r="AH25" i="3"/>
  <c r="AI25" i="3" s="1"/>
  <c r="AH26" i="3"/>
  <c r="AI26" i="3" s="1"/>
  <c r="AH27" i="3"/>
  <c r="AI27" i="3" s="1"/>
  <c r="AI8" i="3"/>
  <c r="BE22" i="3"/>
  <c r="AH4" i="3"/>
  <c r="AI4" i="3" s="1"/>
  <c r="AH5" i="3"/>
  <c r="AI5" i="3" s="1"/>
  <c r="AW12" i="3" l="1"/>
  <c r="BI12" i="3" s="1"/>
  <c r="AJ32" i="3"/>
  <c r="AK32" i="3" s="1"/>
  <c r="AW32" i="3" s="1"/>
  <c r="BI32" i="3" s="1"/>
  <c r="AJ33" i="3"/>
  <c r="AK33" i="3" s="1"/>
  <c r="AW33" i="3" s="1"/>
  <c r="BI33" i="3" s="1"/>
  <c r="AJ34" i="3"/>
  <c r="AK34" i="3" s="1"/>
  <c r="AW34" i="3" s="1"/>
  <c r="BI34" i="3" s="1"/>
  <c r="AJ35" i="3"/>
  <c r="AK35" i="3" s="1"/>
  <c r="AW35" i="3" s="1"/>
  <c r="BI35" i="3" s="1"/>
  <c r="AJ16" i="3"/>
  <c r="AK16" i="3" s="1"/>
  <c r="AW16" i="3" s="1"/>
  <c r="BI16" i="3" s="1"/>
  <c r="AJ10" i="3"/>
  <c r="AK10" i="3" s="1"/>
  <c r="AW10" i="3" s="1"/>
  <c r="AJ11" i="3"/>
  <c r="AK11" i="3" s="1"/>
  <c r="AW11" i="3" s="1"/>
  <c r="AJ17" i="3"/>
  <c r="AK17" i="3" s="1"/>
  <c r="AW17" i="3" s="1"/>
  <c r="BI17" i="3" s="1"/>
  <c r="AJ19" i="3"/>
  <c r="AK19" i="3" s="1"/>
  <c r="AW19" i="3" s="1"/>
  <c r="BI19" i="3" s="1"/>
  <c r="AJ6" i="3"/>
  <c r="AK6" i="3" s="1"/>
  <c r="AW6" i="3" s="1"/>
  <c r="BI6" i="3" s="1"/>
  <c r="AJ7" i="3"/>
  <c r="AK7" i="3" s="1"/>
  <c r="AW7" i="3" s="1"/>
  <c r="BI7" i="3" s="1"/>
  <c r="AJ18" i="3"/>
  <c r="AK18" i="3" s="1"/>
  <c r="AW18" i="3" s="1"/>
  <c r="BI18" i="3" s="1"/>
  <c r="AJ22" i="3"/>
  <c r="AK22" i="3" s="1"/>
  <c r="AW22" i="3" s="1"/>
  <c r="AJ23" i="3"/>
  <c r="AK23" i="3" s="1"/>
  <c r="AW23" i="3" s="1"/>
  <c r="AI24" i="3"/>
  <c r="AJ24" i="3" s="1"/>
  <c r="BE26" i="3"/>
  <c r="BE27" i="3"/>
  <c r="BF14" i="3"/>
  <c r="BG14" i="3" s="1"/>
  <c r="BF15" i="3"/>
  <c r="BG15" i="3" s="1"/>
  <c r="BE23" i="3"/>
  <c r="BF30" i="3"/>
  <c r="BG30" i="3" s="1"/>
  <c r="BF11" i="3"/>
  <c r="BG11" i="3" s="1"/>
  <c r="BF10" i="3"/>
  <c r="BG10" i="3" s="1"/>
  <c r="AJ8" i="3"/>
  <c r="AK8" i="3" s="1"/>
  <c r="AW8" i="3" s="1"/>
  <c r="BI8" i="3" s="1"/>
  <c r="AJ9" i="3"/>
  <c r="AK9" i="3" s="1"/>
  <c r="AW9" i="3" s="1"/>
  <c r="BI9" i="3" s="1"/>
  <c r="BF31" i="3"/>
  <c r="BG31" i="3" s="1"/>
  <c r="AJ20" i="3"/>
  <c r="AK20" i="3" s="1"/>
  <c r="AW20" i="3" s="1"/>
  <c r="BI20" i="3" s="1"/>
  <c r="AJ21" i="3"/>
  <c r="AK21" i="3" s="1"/>
  <c r="AW21" i="3" s="1"/>
  <c r="BI21" i="3" s="1"/>
  <c r="AJ4" i="3"/>
  <c r="AK4" i="3" s="1"/>
  <c r="AW4" i="3" s="1"/>
  <c r="BI4" i="3" s="1"/>
  <c r="AJ5" i="3"/>
  <c r="AK5" i="3" s="1"/>
  <c r="AW5" i="3" s="1"/>
  <c r="BI5" i="3" s="1"/>
  <c r="BF23" i="3"/>
  <c r="BF22" i="3"/>
  <c r="BG22" i="3" s="1"/>
  <c r="AJ27" i="3" l="1"/>
  <c r="AK27" i="3" s="1"/>
  <c r="AW27" i="3" s="1"/>
  <c r="BG23" i="3"/>
  <c r="AJ25" i="3"/>
  <c r="AK25" i="3" s="1"/>
  <c r="AW25" i="3" s="1"/>
  <c r="BI25" i="3" s="1"/>
  <c r="AJ26" i="3"/>
  <c r="AK26" i="3" s="1"/>
  <c r="AW26" i="3" s="1"/>
  <c r="BJ35" i="3"/>
  <c r="BK35" i="3" s="1"/>
  <c r="BJ32" i="3"/>
  <c r="BK32" i="3" s="1"/>
  <c r="Q48" i="2" s="1"/>
  <c r="BJ34" i="3"/>
  <c r="BK34" i="3" s="1"/>
  <c r="BJ33" i="3"/>
  <c r="BK33" i="3" s="1"/>
  <c r="BJ18" i="3"/>
  <c r="BK18" i="3" s="1"/>
  <c r="BJ17" i="3"/>
  <c r="BK17" i="3" s="1"/>
  <c r="BJ19" i="3"/>
  <c r="BK19" i="3" s="1"/>
  <c r="BJ16" i="3"/>
  <c r="BK16" i="3" s="1"/>
  <c r="AK24" i="3"/>
  <c r="AW24" i="3" s="1"/>
  <c r="BI24" i="3" s="1"/>
  <c r="BF26" i="3"/>
  <c r="BG26" i="3" s="1"/>
  <c r="BF27" i="3"/>
  <c r="BG27" i="3" s="1"/>
  <c r="BH15" i="3"/>
  <c r="BI15" i="3" s="1"/>
  <c r="BH14" i="3"/>
  <c r="BI14" i="3" s="1"/>
  <c r="BH11" i="3"/>
  <c r="BI11" i="3" s="1"/>
  <c r="BH31" i="3"/>
  <c r="BI31" i="3" s="1"/>
  <c r="BH30" i="3"/>
  <c r="BI30" i="3" s="1"/>
  <c r="BH10" i="3"/>
  <c r="BI10" i="3" s="1"/>
  <c r="BH22" i="3"/>
  <c r="BI22" i="3" s="1"/>
  <c r="BJ6" i="3"/>
  <c r="BK6" i="3" s="1"/>
  <c r="BJ5" i="3"/>
  <c r="BK5" i="3" s="1"/>
  <c r="BJ4" i="3"/>
  <c r="BK4" i="3" s="1"/>
  <c r="BJ7" i="3"/>
  <c r="BK7" i="3" s="1"/>
  <c r="BH23" i="3"/>
  <c r="BI23" i="3" s="1"/>
  <c r="Q49" i="2" l="1"/>
  <c r="Q47" i="2"/>
  <c r="Q50" i="2"/>
  <c r="W50" i="2" s="1"/>
  <c r="Q25" i="2"/>
  <c r="Q23" i="2"/>
  <c r="Q26" i="2"/>
  <c r="Q24" i="2"/>
  <c r="BH26" i="3"/>
  <c r="BI26" i="3" s="1"/>
  <c r="BH27" i="3"/>
  <c r="BI27" i="3" s="1"/>
  <c r="BJ14" i="3"/>
  <c r="BK14" i="3" s="1"/>
  <c r="BJ13" i="3"/>
  <c r="BK13" i="3" s="1"/>
  <c r="BJ12" i="3"/>
  <c r="BK12" i="3" s="1"/>
  <c r="BJ15" i="3"/>
  <c r="BK15" i="3" s="1"/>
  <c r="BJ11" i="3"/>
  <c r="BK11" i="3" s="1"/>
  <c r="BJ28" i="3"/>
  <c r="BK28" i="3" s="1"/>
  <c r="BJ29" i="3"/>
  <c r="BK29" i="3" s="1"/>
  <c r="BJ30" i="3"/>
  <c r="BK30" i="3" s="1"/>
  <c r="BJ31" i="3"/>
  <c r="BK31" i="3" s="1"/>
  <c r="V49" i="2"/>
  <c r="W49" i="2"/>
  <c r="R49" i="2"/>
  <c r="S49" i="2"/>
  <c r="T49" i="2"/>
  <c r="U49" i="2"/>
  <c r="BJ10" i="3"/>
  <c r="BK10" i="3" s="1"/>
  <c r="R50" i="2"/>
  <c r="U50" i="2"/>
  <c r="T50" i="2"/>
  <c r="BJ9" i="3"/>
  <c r="BK9" i="3" s="1"/>
  <c r="S48" i="2"/>
  <c r="U48" i="2"/>
  <c r="V48" i="2"/>
  <c r="T48" i="2"/>
  <c r="R48" i="2"/>
  <c r="W48" i="2"/>
  <c r="BJ8" i="3"/>
  <c r="BK8" i="3" s="1"/>
  <c r="S47" i="2"/>
  <c r="V47" i="2"/>
  <c r="T47" i="2"/>
  <c r="R47" i="2"/>
  <c r="W47" i="2"/>
  <c r="U47" i="2"/>
  <c r="BJ23" i="3"/>
  <c r="BK23" i="3" s="1"/>
  <c r="BJ20" i="3"/>
  <c r="BK20" i="3" s="1"/>
  <c r="BJ21" i="3"/>
  <c r="BK21" i="3" s="1"/>
  <c r="BJ22" i="3"/>
  <c r="BK22" i="3" s="1"/>
  <c r="Q7" i="2"/>
  <c r="Q8" i="2"/>
  <c r="Q5" i="2"/>
  <c r="Q6" i="2"/>
  <c r="K59" i="2" l="1"/>
  <c r="F61" i="2"/>
  <c r="BO47" i="3" s="1"/>
  <c r="S50" i="2"/>
  <c r="V50" i="2"/>
  <c r="U24" i="2"/>
  <c r="V24" i="2"/>
  <c r="T24" i="2"/>
  <c r="W24" i="2"/>
  <c r="R24" i="2"/>
  <c r="S24" i="2"/>
  <c r="U26" i="2"/>
  <c r="S26" i="2"/>
  <c r="W26" i="2"/>
  <c r="V26" i="2"/>
  <c r="R26" i="2"/>
  <c r="T26" i="2"/>
  <c r="W23" i="2"/>
  <c r="T23" i="2"/>
  <c r="U23" i="2"/>
  <c r="R23" i="2"/>
  <c r="S23" i="2"/>
  <c r="V23" i="2"/>
  <c r="S25" i="2"/>
  <c r="R25" i="2"/>
  <c r="T25" i="2"/>
  <c r="W25" i="2"/>
  <c r="V25" i="2"/>
  <c r="U25" i="2"/>
  <c r="BJ24" i="3"/>
  <c r="BK24" i="3" s="1"/>
  <c r="BJ26" i="3"/>
  <c r="BK26" i="3" s="1"/>
  <c r="BJ25" i="3"/>
  <c r="BK25" i="3" s="1"/>
  <c r="BJ27" i="3"/>
  <c r="BK27" i="3" s="1"/>
  <c r="Q20" i="2"/>
  <c r="Q17" i="2"/>
  <c r="Q18" i="2"/>
  <c r="Q19" i="2"/>
  <c r="Q42" i="2"/>
  <c r="T42" i="2" s="1"/>
  <c r="Q43" i="2"/>
  <c r="S43" i="2" s="1"/>
  <c r="BY49" i="3"/>
  <c r="Q12" i="2"/>
  <c r="Q13" i="2"/>
  <c r="Q11" i="2"/>
  <c r="Q14" i="2"/>
  <c r="Q41" i="2"/>
  <c r="Q44" i="2"/>
  <c r="U7" i="2"/>
  <c r="T7" i="2"/>
  <c r="W7" i="2"/>
  <c r="S7" i="2"/>
  <c r="V7" i="2"/>
  <c r="R7" i="2"/>
  <c r="W6" i="2"/>
  <c r="S6" i="2"/>
  <c r="V6" i="2"/>
  <c r="R6" i="2"/>
  <c r="U6" i="2"/>
  <c r="T6" i="2"/>
  <c r="Q31" i="2"/>
  <c r="Q30" i="2"/>
  <c r="Q29" i="2"/>
  <c r="Q32" i="2"/>
  <c r="W5" i="2"/>
  <c r="S5" i="2"/>
  <c r="V5" i="2"/>
  <c r="R5" i="2"/>
  <c r="U5" i="2"/>
  <c r="T5" i="2"/>
  <c r="V8" i="2"/>
  <c r="U8" i="2"/>
  <c r="T8" i="2"/>
  <c r="W8" i="2"/>
  <c r="S8" i="2"/>
  <c r="R8" i="2"/>
  <c r="F56" i="2" l="1"/>
  <c r="K55" i="2"/>
  <c r="F54" i="2"/>
  <c r="BO40" i="3" s="1"/>
  <c r="BQ40" i="3" s="1"/>
  <c r="K57" i="2"/>
  <c r="BO59" i="3" s="1"/>
  <c r="W42" i="2"/>
  <c r="U43" i="2"/>
  <c r="W43" i="2"/>
  <c r="V43" i="2"/>
  <c r="BO61" i="3"/>
  <c r="BQ61" i="3" s="1"/>
  <c r="R43" i="2"/>
  <c r="BY25" i="3"/>
  <c r="T43" i="2"/>
  <c r="R42" i="2"/>
  <c r="S42" i="2"/>
  <c r="V42" i="2"/>
  <c r="U42" i="2"/>
  <c r="Q37" i="2"/>
  <c r="Q36" i="2"/>
  <c r="Q38" i="2"/>
  <c r="Q35" i="2"/>
  <c r="W19" i="2"/>
  <c r="U19" i="2"/>
  <c r="T19" i="2"/>
  <c r="V19" i="2"/>
  <c r="R19" i="2"/>
  <c r="S19" i="2"/>
  <c r="U18" i="2"/>
  <c r="W18" i="2"/>
  <c r="V18" i="2"/>
  <c r="R18" i="2"/>
  <c r="S18" i="2"/>
  <c r="T18" i="2"/>
  <c r="U17" i="2"/>
  <c r="V17" i="2"/>
  <c r="T17" i="2"/>
  <c r="S17" i="2"/>
  <c r="R17" i="2"/>
  <c r="W17" i="2"/>
  <c r="S20" i="2"/>
  <c r="V20" i="2"/>
  <c r="T20" i="2"/>
  <c r="W20" i="2"/>
  <c r="U20" i="2"/>
  <c r="R20" i="2"/>
  <c r="T41" i="2"/>
  <c r="R41" i="2"/>
  <c r="S41" i="2"/>
  <c r="U41" i="2"/>
  <c r="V41" i="2"/>
  <c r="W41" i="2"/>
  <c r="S12" i="2"/>
  <c r="R12" i="2"/>
  <c r="W12" i="2"/>
  <c r="T12" i="2"/>
  <c r="U12" i="2"/>
  <c r="V12" i="2"/>
  <c r="T14" i="2"/>
  <c r="R14" i="2"/>
  <c r="W14" i="2"/>
  <c r="U14" i="2"/>
  <c r="S14" i="2"/>
  <c r="V14" i="2"/>
  <c r="BQ47" i="3"/>
  <c r="U11" i="2"/>
  <c r="R11" i="2"/>
  <c r="T11" i="2"/>
  <c r="S11" i="2"/>
  <c r="V11" i="2"/>
  <c r="W11" i="2"/>
  <c r="W44" i="2"/>
  <c r="T44" i="2"/>
  <c r="U44" i="2"/>
  <c r="R44" i="2"/>
  <c r="S44" i="2"/>
  <c r="V44" i="2"/>
  <c r="T13" i="2"/>
  <c r="S13" i="2"/>
  <c r="R13" i="2"/>
  <c r="V13" i="2"/>
  <c r="W13" i="2"/>
  <c r="U13" i="2"/>
  <c r="T30" i="2"/>
  <c r="V30" i="2"/>
  <c r="U30" i="2"/>
  <c r="W30" i="2"/>
  <c r="S30" i="2"/>
  <c r="R30" i="2"/>
  <c r="BY7" i="3"/>
  <c r="U31" i="2"/>
  <c r="W31" i="2"/>
  <c r="S31" i="2"/>
  <c r="V31" i="2"/>
  <c r="R31" i="2"/>
  <c r="T31" i="2"/>
  <c r="V32" i="2"/>
  <c r="R32" i="2"/>
  <c r="T32" i="2"/>
  <c r="W32" i="2"/>
  <c r="S32" i="2"/>
  <c r="U32" i="2"/>
  <c r="W29" i="2"/>
  <c r="S29" i="2"/>
  <c r="T29" i="2"/>
  <c r="R29" i="2"/>
  <c r="V29" i="2"/>
  <c r="U29" i="2"/>
  <c r="K61" i="2" l="1"/>
  <c r="F59" i="2"/>
  <c r="K60" i="2"/>
  <c r="F58" i="2"/>
  <c r="BO44" i="3" s="1"/>
  <c r="F57" i="2"/>
  <c r="K54" i="2"/>
  <c r="F55" i="2"/>
  <c r="K56" i="2"/>
  <c r="BO57" i="3"/>
  <c r="BQ57" i="3" s="1"/>
  <c r="BO42" i="3"/>
  <c r="S36" i="2"/>
  <c r="R36" i="2"/>
  <c r="T36" i="2"/>
  <c r="W36" i="2"/>
  <c r="V36" i="2"/>
  <c r="U36" i="2"/>
  <c r="U37" i="2"/>
  <c r="T37" i="2"/>
  <c r="S37" i="2"/>
  <c r="R37" i="2"/>
  <c r="V37" i="2"/>
  <c r="W37" i="2"/>
  <c r="R35" i="2"/>
  <c r="S35" i="2"/>
  <c r="V35" i="2"/>
  <c r="U35" i="2"/>
  <c r="W35" i="2"/>
  <c r="T35" i="2"/>
  <c r="U38" i="2"/>
  <c r="V38" i="2"/>
  <c r="W38" i="2"/>
  <c r="T38" i="2"/>
  <c r="S38" i="2"/>
  <c r="R38" i="2"/>
  <c r="BY19" i="3"/>
  <c r="BO45" i="3"/>
  <c r="BO63" i="3"/>
  <c r="BY43" i="3"/>
  <c r="BY13" i="3"/>
  <c r="BY31" i="3"/>
  <c r="K58" i="2" l="1"/>
  <c r="F60" i="2"/>
  <c r="BO46" i="3" s="1"/>
  <c r="BQ42" i="3"/>
  <c r="BO43" i="3"/>
  <c r="BQ43" i="3" s="1"/>
  <c r="BO67" i="3"/>
  <c r="BO62" i="3"/>
  <c r="BQ62" i="3" s="1"/>
  <c r="BQ59" i="3"/>
  <c r="BO58" i="3"/>
  <c r="BQ58" i="3" s="1"/>
  <c r="BO65" i="3"/>
  <c r="BO52" i="3"/>
  <c r="BQ52" i="3" s="1"/>
  <c r="BO41" i="3"/>
  <c r="BQ41" i="3" s="1"/>
  <c r="BY37" i="3"/>
  <c r="BQ63" i="3"/>
  <c r="BO66" i="3"/>
  <c r="BQ66" i="3" s="1"/>
  <c r="BO56" i="3"/>
  <c r="BQ56" i="3" s="1"/>
  <c r="BQ45" i="3"/>
  <c r="BO64" i="3"/>
  <c r="BQ64" i="3" s="1"/>
  <c r="BQ44" i="3"/>
  <c r="BO48" i="3" l="1"/>
  <c r="BQ48" i="3" s="1"/>
  <c r="BO53" i="3"/>
  <c r="BQ53" i="3" s="1"/>
  <c r="BO49" i="3"/>
  <c r="BQ49" i="3" s="1"/>
  <c r="BO60" i="3"/>
  <c r="BQ60" i="3" s="1"/>
  <c r="BO51" i="3"/>
  <c r="BQ46" i="3"/>
  <c r="BO69" i="3"/>
  <c r="BQ67" i="3"/>
  <c r="BQ65" i="3"/>
  <c r="BO70" i="3" l="1"/>
  <c r="BQ70" i="3" s="1"/>
  <c r="BO74" i="3"/>
  <c r="BQ74" i="3" s="1"/>
  <c r="BO68" i="3"/>
  <c r="BQ68" i="3" s="1"/>
  <c r="BQ51" i="3"/>
  <c r="BO50" i="3"/>
  <c r="BQ50" i="3" s="1"/>
  <c r="BO72" i="3"/>
  <c r="BQ72" i="3" s="1"/>
  <c r="BQ69" i="3"/>
  <c r="BO71" i="3"/>
  <c r="BO54" i="3" l="1"/>
  <c r="BQ54" i="3" s="1"/>
  <c r="BO55" i="3"/>
  <c r="BQ55" i="3" s="1"/>
  <c r="BO73" i="3"/>
  <c r="BQ73" i="3" s="1"/>
  <c r="BQ71" i="3"/>
</calcChain>
</file>

<file path=xl/sharedStrings.xml><?xml version="1.0" encoding="utf-8"?>
<sst xmlns="http://schemas.openxmlformats.org/spreadsheetml/2006/main" count="1134" uniqueCount="754">
  <si>
    <t>SETUP</t>
  </si>
  <si>
    <t>English</t>
  </si>
  <si>
    <t>FIFA World Ranking Points</t>
  </si>
  <si>
    <t>Fair Play Points</t>
  </si>
  <si>
    <t>MY LANGUAGE</t>
  </si>
  <si>
    <t>Original Language (English)</t>
  </si>
  <si>
    <t>Your Language Translation</t>
  </si>
  <si>
    <t>Senegal</t>
  </si>
  <si>
    <t></t>
  </si>
  <si>
    <t>Netherlands</t>
  </si>
  <si>
    <t>Qatar</t>
  </si>
  <si>
    <t>Ecuador</t>
  </si>
  <si>
    <t>England</t>
  </si>
  <si>
    <t>Iran</t>
  </si>
  <si>
    <t>United States</t>
  </si>
  <si>
    <t>Wales</t>
  </si>
  <si>
    <t>Argentina</t>
  </si>
  <si>
    <t>Saudi Arabia</t>
  </si>
  <si>
    <t>Mexico</t>
  </si>
  <si>
    <t>Poland</t>
  </si>
  <si>
    <t>Denmark</t>
  </si>
  <si>
    <t>Tunisia</t>
  </si>
  <si>
    <t>France</t>
  </si>
  <si>
    <t>Australia</t>
  </si>
  <si>
    <t>Germany</t>
  </si>
  <si>
    <t>Japan</t>
  </si>
  <si>
    <t>Spain</t>
  </si>
  <si>
    <t>Costa Rica</t>
  </si>
  <si>
    <t>Morocco</t>
  </si>
  <si>
    <t>Croatia</t>
  </si>
  <si>
    <t>Belgium</t>
  </si>
  <si>
    <t>Canada</t>
  </si>
  <si>
    <t>Switzerland</t>
  </si>
  <si>
    <t>Cameroon</t>
  </si>
  <si>
    <t>Brazil</t>
  </si>
  <si>
    <t>Serbia</t>
  </si>
  <si>
    <t>Uruguay</t>
  </si>
  <si>
    <t>South Korea</t>
  </si>
  <si>
    <t>Portugal</t>
  </si>
  <si>
    <t>Ghana</t>
  </si>
  <si>
    <t>Language</t>
  </si>
  <si>
    <t>*as of March 31st, 2022</t>
  </si>
  <si>
    <t>Timezone</t>
  </si>
  <si>
    <t>Group Stages</t>
  </si>
  <si>
    <t>Matches</t>
  </si>
  <si>
    <t>Standings</t>
  </si>
  <si>
    <t>Group</t>
  </si>
  <si>
    <t>Date</t>
  </si>
  <si>
    <t>Country</t>
  </si>
  <si>
    <t>Score</t>
  </si>
  <si>
    <t>Time</t>
  </si>
  <si>
    <t>Round of 16</t>
  </si>
  <si>
    <t>Quarter Finals</t>
  </si>
  <si>
    <t>Semi Finals</t>
  </si>
  <si>
    <t>Third Place</t>
  </si>
  <si>
    <t>Final</t>
  </si>
  <si>
    <t>Winner</t>
  </si>
  <si>
    <t>Runner Up</t>
  </si>
  <si>
    <t>Normal Time</t>
  </si>
  <si>
    <t>Penalty Shoot Out</t>
  </si>
  <si>
    <t>Champion</t>
  </si>
  <si>
    <t>Match #</t>
  </si>
  <si>
    <t>Group A Winner</t>
  </si>
  <si>
    <t>Group B Winner</t>
  </si>
  <si>
    <t>Group C Winner</t>
  </si>
  <si>
    <t>Group D Winner</t>
  </si>
  <si>
    <t>Group E Winner</t>
  </si>
  <si>
    <t>Group F Winner</t>
  </si>
  <si>
    <t>Group G Winner</t>
  </si>
  <si>
    <t>Group H Winner</t>
  </si>
  <si>
    <t>Group A Runner Up</t>
  </si>
  <si>
    <t>Group B Runner Up</t>
  </si>
  <si>
    <t>Group C Runner Up</t>
  </si>
  <si>
    <t>Group D Runner Up</t>
  </si>
  <si>
    <t>Group E Runner Up</t>
  </si>
  <si>
    <t>Group F Runner Up</t>
  </si>
  <si>
    <t>Group G Runner Up</t>
  </si>
  <si>
    <t>Group H Runner Up</t>
  </si>
  <si>
    <t>Match 53 Winner</t>
  </si>
  <si>
    <t>Match 54 Winner</t>
  </si>
  <si>
    <t>Match 55 Winner</t>
  </si>
  <si>
    <t>Match 56 Winner</t>
  </si>
  <si>
    <t>Match 57 Winner</t>
  </si>
  <si>
    <t>Match 58 Winner</t>
  </si>
  <si>
    <t>Match 59 Winner</t>
  </si>
  <si>
    <t>Match 60 Winner</t>
  </si>
  <si>
    <t>Match 61 Winner</t>
  </si>
  <si>
    <t>Match 62 Winner</t>
  </si>
  <si>
    <t>Match 63 Winner</t>
  </si>
  <si>
    <t>Match 64 Winner</t>
  </si>
  <si>
    <t>Played</t>
  </si>
  <si>
    <t>Win</t>
  </si>
  <si>
    <t>Draw</t>
  </si>
  <si>
    <t>Lose</t>
  </si>
  <si>
    <t>Goal scored for</t>
  </si>
  <si>
    <t>Goal scored against</t>
  </si>
  <si>
    <t>Point</t>
  </si>
  <si>
    <t>Second place</t>
  </si>
  <si>
    <t>Group A</t>
  </si>
  <si>
    <t>Group B</t>
  </si>
  <si>
    <t>Group C</t>
  </si>
  <si>
    <t>Group D</t>
  </si>
  <si>
    <t>Group E</t>
  </si>
  <si>
    <t>Group F</t>
  </si>
  <si>
    <t>Group G</t>
  </si>
  <si>
    <t>Group H</t>
  </si>
  <si>
    <t>Match 49 Winner</t>
  </si>
  <si>
    <t>Match 50 Winner</t>
  </si>
  <si>
    <t>Match 51 Winner</t>
  </si>
  <si>
    <t>Match 52 Winner</t>
  </si>
  <si>
    <t>Match 61 Loser</t>
  </si>
  <si>
    <t>Match 62 Loser</t>
  </si>
  <si>
    <t>Venue</t>
  </si>
  <si>
    <t>World Cup 2022 Fixtures</t>
  </si>
  <si>
    <t>World Cup 2022 Champion</t>
  </si>
  <si>
    <t>World Cup 2022 Runner Up</t>
  </si>
  <si>
    <t>World Cup 2022 3rd Place</t>
  </si>
  <si>
    <t>P</t>
  </si>
  <si>
    <t>W</t>
  </si>
  <si>
    <t>D</t>
  </si>
  <si>
    <t>L</t>
  </si>
  <si>
    <t>F - A</t>
  </si>
  <si>
    <t>Pt</t>
  </si>
  <si>
    <t>A</t>
  </si>
  <si>
    <t>Al Thumama Stadium</t>
  </si>
  <si>
    <t>B</t>
  </si>
  <si>
    <t>Khalifa International Stadium</t>
  </si>
  <si>
    <t>Al Bayt Stadium</t>
  </si>
  <si>
    <t>Ahmad Bin Ali Stadium</t>
  </si>
  <si>
    <t>C</t>
  </si>
  <si>
    <t>Lusail Stadium</t>
  </si>
  <si>
    <t>Education City Stadium</t>
  </si>
  <si>
    <t>Stadium 974</t>
  </si>
  <si>
    <t>Al Janoub Stadium</t>
  </si>
  <si>
    <t>F</t>
  </si>
  <si>
    <t>E</t>
  </si>
  <si>
    <t>G</t>
  </si>
  <si>
    <t>H</t>
  </si>
  <si>
    <t>PSO</t>
  </si>
  <si>
    <t>R16</t>
  </si>
  <si>
    <t>Cairo</t>
  </si>
  <si>
    <t>Canberra</t>
  </si>
  <si>
    <t>Cape Town</t>
  </si>
  <si>
    <t>Caracas</t>
  </si>
  <si>
    <t>Casablanca</t>
  </si>
  <si>
    <t xml:space="preserve">Chicago </t>
  </si>
  <si>
    <t>QF</t>
  </si>
  <si>
    <t xml:space="preserve">Copenhagen </t>
  </si>
  <si>
    <t>SF</t>
  </si>
  <si>
    <t>3rd</t>
  </si>
  <si>
    <t>© 2022 | journalSHEET.com</t>
  </si>
  <si>
    <t>Notes :</t>
  </si>
  <si>
    <t>●</t>
  </si>
  <si>
    <t>Pairing teams in Knock Out rounds will be placed automatically</t>
  </si>
  <si>
    <t>Color meaning :</t>
  </si>
  <si>
    <t>Team Name</t>
  </si>
  <si>
    <t>+0.5</t>
  </si>
  <si>
    <t>+1</t>
  </si>
  <si>
    <t>+1.5</t>
  </si>
  <si>
    <t>+2</t>
  </si>
  <si>
    <t>+2.5</t>
  </si>
  <si>
    <t>+3</t>
  </si>
  <si>
    <t>+3.5</t>
  </si>
  <si>
    <t>+4</t>
  </si>
  <si>
    <t>+4.5</t>
  </si>
  <si>
    <t>+5</t>
  </si>
  <si>
    <t>+5.5</t>
  </si>
  <si>
    <t>+6</t>
  </si>
  <si>
    <t>+6.5</t>
  </si>
  <si>
    <t>+7</t>
  </si>
  <si>
    <t>+7.5</t>
  </si>
  <si>
    <t>+8</t>
  </si>
  <si>
    <t>+8.5</t>
  </si>
  <si>
    <t>+9</t>
  </si>
  <si>
    <t>+9.5</t>
  </si>
  <si>
    <t>+10</t>
  </si>
  <si>
    <t>+10.5</t>
  </si>
  <si>
    <t>+11</t>
  </si>
  <si>
    <t>+11.5</t>
  </si>
  <si>
    <t>+12</t>
  </si>
  <si>
    <t>:</t>
  </si>
  <si>
    <t>Kaliningrad Stadium</t>
  </si>
  <si>
    <t>French</t>
  </si>
  <si>
    <t>German/Deutsch</t>
  </si>
  <si>
    <t>Italian</t>
  </si>
  <si>
    <t>Portuguese</t>
  </si>
  <si>
    <t>Spanish</t>
  </si>
  <si>
    <t>Sénégal</t>
  </si>
  <si>
    <t>Pays-Bas</t>
  </si>
  <si>
    <t>Niederlande</t>
  </si>
  <si>
    <t>Olanda</t>
  </si>
  <si>
    <t>Holanda</t>
  </si>
  <si>
    <t>Países Bajos</t>
  </si>
  <si>
    <t>Katar</t>
  </si>
  <si>
    <t>Catar</t>
  </si>
  <si>
    <t>Equateur</t>
  </si>
  <si>
    <t>Equador</t>
  </si>
  <si>
    <t>Angleterre</t>
  </si>
  <si>
    <t>Inghilterra</t>
  </si>
  <si>
    <t>Inglaterra</t>
  </si>
  <si>
    <t>Ich rannte</t>
  </si>
  <si>
    <t>Ho corso</t>
  </si>
  <si>
    <t>Irã</t>
  </si>
  <si>
    <t>Corrí</t>
  </si>
  <si>
    <t>États-Unis</t>
  </si>
  <si>
    <t>Vereinigte Staaten</t>
  </si>
  <si>
    <t>stati Uniti</t>
  </si>
  <si>
    <t>Estados Unidos</t>
  </si>
  <si>
    <t>Pays de Galles</t>
  </si>
  <si>
    <t>Galles</t>
  </si>
  <si>
    <t>País de Gales</t>
  </si>
  <si>
    <t>Gales</t>
  </si>
  <si>
    <t>Argentine</t>
  </si>
  <si>
    <t>Argentinien</t>
  </si>
  <si>
    <t>Arabie Saoudite</t>
  </si>
  <si>
    <t>Saudi Arabien</t>
  </si>
  <si>
    <t>Arabia Saudita</t>
  </si>
  <si>
    <t>Arábia Saudita</t>
  </si>
  <si>
    <t>Mexique</t>
  </si>
  <si>
    <t>Mexiko</t>
  </si>
  <si>
    <t>Messico</t>
  </si>
  <si>
    <t>México</t>
  </si>
  <si>
    <t>Méjico</t>
  </si>
  <si>
    <t>Pologne</t>
  </si>
  <si>
    <t>Polen</t>
  </si>
  <si>
    <t>Polonia</t>
  </si>
  <si>
    <t>Polônia</t>
  </si>
  <si>
    <t>Danemark</t>
  </si>
  <si>
    <t>Dänemark</t>
  </si>
  <si>
    <t>Danimarca</t>
  </si>
  <si>
    <t>Dinamarca</t>
  </si>
  <si>
    <t>Tunisie</t>
  </si>
  <si>
    <t>Tunesien</t>
  </si>
  <si>
    <t>Tunísia</t>
  </si>
  <si>
    <t>Túnez</t>
  </si>
  <si>
    <t>Frankreich</t>
  </si>
  <si>
    <t>Francia</t>
  </si>
  <si>
    <t>França</t>
  </si>
  <si>
    <t>Australie</t>
  </si>
  <si>
    <t>Australien</t>
  </si>
  <si>
    <t>Austrália</t>
  </si>
  <si>
    <t>Allemagne</t>
  </si>
  <si>
    <t>Deutschland</t>
  </si>
  <si>
    <t>Germania</t>
  </si>
  <si>
    <t>Alemanha</t>
  </si>
  <si>
    <t>Alemania</t>
  </si>
  <si>
    <t>Japon</t>
  </si>
  <si>
    <t>Giappone</t>
  </si>
  <si>
    <t>Japão</t>
  </si>
  <si>
    <t>Japón</t>
  </si>
  <si>
    <t>Espagne</t>
  </si>
  <si>
    <t>Spanien</t>
  </si>
  <si>
    <t>Spagna</t>
  </si>
  <si>
    <t>Espanha</t>
  </si>
  <si>
    <t>España</t>
  </si>
  <si>
    <t>Maroc</t>
  </si>
  <si>
    <t>Marokko</t>
  </si>
  <si>
    <t>Marocco</t>
  </si>
  <si>
    <t>Marrocos</t>
  </si>
  <si>
    <t>Marruecos</t>
  </si>
  <si>
    <t>Croatie</t>
  </si>
  <si>
    <t>Kroatien</t>
  </si>
  <si>
    <t>Croazia</t>
  </si>
  <si>
    <t>Croácia</t>
  </si>
  <si>
    <t>Croacia</t>
  </si>
  <si>
    <t>Belgique</t>
  </si>
  <si>
    <t>Belgien</t>
  </si>
  <si>
    <t>Belgio</t>
  </si>
  <si>
    <t>Bélgica</t>
  </si>
  <si>
    <t>Kanada</t>
  </si>
  <si>
    <t>Canadá</t>
  </si>
  <si>
    <t>Suisse</t>
  </si>
  <si>
    <t>Schweiz</t>
  </si>
  <si>
    <t>Svizzera</t>
  </si>
  <si>
    <t>Suíça</t>
  </si>
  <si>
    <t>Suiza</t>
  </si>
  <si>
    <t>Cameroun</t>
  </si>
  <si>
    <t>Kamerun</t>
  </si>
  <si>
    <t>Camerun</t>
  </si>
  <si>
    <t>Camarões</t>
  </si>
  <si>
    <t>Camerún</t>
  </si>
  <si>
    <t>Brésil</t>
  </si>
  <si>
    <t>Brasilien</t>
  </si>
  <si>
    <t>Brasile</t>
  </si>
  <si>
    <t>Brasil</t>
  </si>
  <si>
    <t>Serbie</t>
  </si>
  <si>
    <t>Serbien</t>
  </si>
  <si>
    <t>Sérvia</t>
  </si>
  <si>
    <t>Uruguai</t>
  </si>
  <si>
    <t>Corée du Sud</t>
  </si>
  <si>
    <t>Südkorea</t>
  </si>
  <si>
    <t>Corea del Sud</t>
  </si>
  <si>
    <t>Coreia do Sul</t>
  </si>
  <si>
    <t>Corea del Sur</t>
  </si>
  <si>
    <t>le Portugal</t>
  </si>
  <si>
    <t>Portogallo</t>
  </si>
  <si>
    <t>Gana</t>
  </si>
  <si>
    <t>Langue</t>
  </si>
  <si>
    <t>Sprache</t>
  </si>
  <si>
    <t>Linguaggio</t>
  </si>
  <si>
    <t>Idioma</t>
  </si>
  <si>
    <t>Fuseau horaire</t>
  </si>
  <si>
    <t>Zeitzone</t>
  </si>
  <si>
    <t>Fuso orario</t>
  </si>
  <si>
    <t>Fuso Horário</t>
  </si>
  <si>
    <t>Zona Horaria</t>
  </si>
  <si>
    <t>Phases de poules</t>
  </si>
  <si>
    <t>Gruppenphase</t>
  </si>
  <si>
    <t>Fase a gruppi</t>
  </si>
  <si>
    <t>Fase de Grupos</t>
  </si>
  <si>
    <t>Fase de grupos</t>
  </si>
  <si>
    <t>Rencontres</t>
  </si>
  <si>
    <t>Spiele</t>
  </si>
  <si>
    <t>Partite</t>
  </si>
  <si>
    <t>Jogos</t>
  </si>
  <si>
    <t>Partidos</t>
  </si>
  <si>
    <t>Classements</t>
  </si>
  <si>
    <t>Tabellen</t>
  </si>
  <si>
    <t>Classifica</t>
  </si>
  <si>
    <t>Classificações</t>
  </si>
  <si>
    <t>Clasificación</t>
  </si>
  <si>
    <t>Groupe</t>
  </si>
  <si>
    <t>Gruppe</t>
  </si>
  <si>
    <t>Gruppo</t>
  </si>
  <si>
    <t>Grupo</t>
  </si>
  <si>
    <t>Datum</t>
  </si>
  <si>
    <t>Data</t>
  </si>
  <si>
    <t>Fecha</t>
  </si>
  <si>
    <t>Pays</t>
  </si>
  <si>
    <t>Land</t>
  </si>
  <si>
    <t>Nazione</t>
  </si>
  <si>
    <t>País</t>
  </si>
  <si>
    <t>Ergebnis</t>
  </si>
  <si>
    <t>Risultato</t>
  </si>
  <si>
    <t>Resultado</t>
  </si>
  <si>
    <t>Heure</t>
  </si>
  <si>
    <t>Uhrzeit</t>
  </si>
  <si>
    <t>Ora</t>
  </si>
  <si>
    <t>Tempo</t>
  </si>
  <si>
    <t>Hora</t>
  </si>
  <si>
    <t xml:space="preserve">Huitièmes de finale </t>
  </si>
  <si>
    <t>Achtelfinale</t>
  </si>
  <si>
    <t>Ottavi di finale</t>
  </si>
  <si>
    <t>Oitavos de Final</t>
  </si>
  <si>
    <t>Octavos de final</t>
  </si>
  <si>
    <t>Quarts de finale</t>
  </si>
  <si>
    <t>Viertelfinale</t>
  </si>
  <si>
    <t>Quarti di finale</t>
  </si>
  <si>
    <t>Quartos de Final</t>
  </si>
  <si>
    <t>Cuartos de final</t>
  </si>
  <si>
    <t>Demi-finales</t>
  </si>
  <si>
    <t>Halbfinale</t>
  </si>
  <si>
    <t>Semifinale</t>
  </si>
  <si>
    <t>Meias Finais</t>
  </si>
  <si>
    <t>Semifinales</t>
  </si>
  <si>
    <t>Finale</t>
  </si>
  <si>
    <t>Gagnant</t>
  </si>
  <si>
    <t>Sieger</t>
  </si>
  <si>
    <t>Vincitore</t>
  </si>
  <si>
    <t>Vencedor</t>
  </si>
  <si>
    <t>Ganador</t>
  </si>
  <si>
    <t>Second</t>
  </si>
  <si>
    <t>Zweiter</t>
  </si>
  <si>
    <t>Qualificato</t>
  </si>
  <si>
    <t>Vencido</t>
  </si>
  <si>
    <t>Subcampeón</t>
  </si>
  <si>
    <t>Temps réglementaire</t>
  </si>
  <si>
    <t>Reguläre Spielzeit</t>
  </si>
  <si>
    <t>Tempo regolamentare</t>
  </si>
  <si>
    <t>Tempo Regulamentar</t>
  </si>
  <si>
    <t>90 minutos</t>
  </si>
  <si>
    <t>Tirs au but</t>
  </si>
  <si>
    <t>Elfmeterschießen</t>
  </si>
  <si>
    <t>Rigori</t>
  </si>
  <si>
    <t>Penáltis</t>
  </si>
  <si>
    <t>Penaltys</t>
  </si>
  <si>
    <t>Meister</t>
  </si>
  <si>
    <t>Campione</t>
  </si>
  <si>
    <t>Campeão</t>
  </si>
  <si>
    <t>Campeón</t>
  </si>
  <si>
    <t>Spiel #</t>
  </si>
  <si>
    <t>Partita n°</t>
  </si>
  <si>
    <t>Jogo #</t>
  </si>
  <si>
    <t>Partido #</t>
  </si>
  <si>
    <t>Groupe A Vainqueur</t>
  </si>
  <si>
    <t>Sieger Gruppe A</t>
  </si>
  <si>
    <t>Vincitore gruppo A</t>
  </si>
  <si>
    <t>Vencedor Grupo A</t>
  </si>
  <si>
    <t>Primero Grupo A</t>
  </si>
  <si>
    <t>Groupe B Vainqueur</t>
  </si>
  <si>
    <t>Sieger Gruppe B</t>
  </si>
  <si>
    <t>Vincitore gruppo B</t>
  </si>
  <si>
    <t>Vencedor Grupo B</t>
  </si>
  <si>
    <t>Primero Grupo B</t>
  </si>
  <si>
    <t>Groupe C Vainqueur</t>
  </si>
  <si>
    <t>Sieger Gruppe C</t>
  </si>
  <si>
    <t>Vincitore gruppo C</t>
  </si>
  <si>
    <t>Vencedor Grupo C</t>
  </si>
  <si>
    <t>Primero Grupo C</t>
  </si>
  <si>
    <t>Groupe D Vainqueur</t>
  </si>
  <si>
    <t>Sieger Gruppe D</t>
  </si>
  <si>
    <t>Vincitore gruppo D</t>
  </si>
  <si>
    <t>Vencedor Grupo D</t>
  </si>
  <si>
    <t>Primero Grupo D</t>
  </si>
  <si>
    <t>Groupe E Vainqueur</t>
  </si>
  <si>
    <t>Sieger Gruppe E</t>
  </si>
  <si>
    <t>Vincitore gruppo E</t>
  </si>
  <si>
    <t>Vencedor Grupo E</t>
  </si>
  <si>
    <t>Primero Grupo E</t>
  </si>
  <si>
    <t>Groupe F Vainqueur</t>
  </si>
  <si>
    <t>Sieger Gruppe F</t>
  </si>
  <si>
    <t>Vincitore gruppo F</t>
  </si>
  <si>
    <t>Vencedor Grupo F</t>
  </si>
  <si>
    <t>Primero Grupo F</t>
  </si>
  <si>
    <t>Groupe G Vainqueur</t>
  </si>
  <si>
    <t>Sieger Gruppe G</t>
  </si>
  <si>
    <t>Vincitore gruppo G</t>
  </si>
  <si>
    <t>Vencedor Grupo G</t>
  </si>
  <si>
    <t>Primero Grupo G</t>
  </si>
  <si>
    <t>Groupe H Vainqueur</t>
  </si>
  <si>
    <t>Sieger Gruppe H</t>
  </si>
  <si>
    <t>Vincitore gruppo H</t>
  </si>
  <si>
    <t>Vencedor Grupo H</t>
  </si>
  <si>
    <t>Primero Grupo H</t>
  </si>
  <si>
    <t>Second Groupe A</t>
  </si>
  <si>
    <t>Zweiter Gruppe A</t>
  </si>
  <si>
    <t>Seconda gruppo A</t>
  </si>
  <si>
    <t>2º Classificado Grupo A</t>
  </si>
  <si>
    <t>Segundo Grupo A</t>
  </si>
  <si>
    <t>Second Groupe B</t>
  </si>
  <si>
    <t>Zweiter Gruppe B</t>
  </si>
  <si>
    <t>Seconda gruppo B</t>
  </si>
  <si>
    <t>2º Classificado Grupo B</t>
  </si>
  <si>
    <t>Segundo Grupo B</t>
  </si>
  <si>
    <t>Second Groupe C</t>
  </si>
  <si>
    <t>Zweiter Gruppe C</t>
  </si>
  <si>
    <t>Seconda gruppo C</t>
  </si>
  <si>
    <t>2º Classificado Grupo C</t>
  </si>
  <si>
    <t>Segundo Grupo C</t>
  </si>
  <si>
    <t>Second Groupe D</t>
  </si>
  <si>
    <t>Zweiter Gruppe D</t>
  </si>
  <si>
    <t>Seconda gruppo D</t>
  </si>
  <si>
    <t>2º Classificado Grupo D</t>
  </si>
  <si>
    <t>Segundo Grupo D</t>
  </si>
  <si>
    <t>Second Groupe E</t>
  </si>
  <si>
    <t>Zweiter Gruppe E</t>
  </si>
  <si>
    <t>Seconda gruppo E</t>
  </si>
  <si>
    <t>2º Classificado Grupo E</t>
  </si>
  <si>
    <t>Segundo Grupo E</t>
  </si>
  <si>
    <t>Second Groupe F</t>
  </si>
  <si>
    <t>Zweiter Gruppe F</t>
  </si>
  <si>
    <t>Seconda gruppo F</t>
  </si>
  <si>
    <t>2º Classificado Grupo F</t>
  </si>
  <si>
    <t>Segundo Grupo F</t>
  </si>
  <si>
    <t>Second Groupe G</t>
  </si>
  <si>
    <t>Zweiter Gruppe G</t>
  </si>
  <si>
    <t>Seconda gruppo G</t>
  </si>
  <si>
    <t>2º Classificado Grupo G</t>
  </si>
  <si>
    <t>Segundo Grupo G</t>
  </si>
  <si>
    <t>Second Groupe H</t>
  </si>
  <si>
    <t>Zweiter Gruppe H</t>
  </si>
  <si>
    <t>Seconda gruppo H</t>
  </si>
  <si>
    <t>2º Classificado Grupo H</t>
  </si>
  <si>
    <t>Segundo Grupo H</t>
  </si>
  <si>
    <t>Match 53 Vainqueur</t>
  </si>
  <si>
    <t>Sieger Spiel 53</t>
  </si>
  <si>
    <t>Vincitore partita 53</t>
  </si>
  <si>
    <t>Vencedor Jogo 53</t>
  </si>
  <si>
    <t>Ganador partido 53</t>
  </si>
  <si>
    <t>Match 54 Vainqueur</t>
  </si>
  <si>
    <t>Sieger Spiel 54</t>
  </si>
  <si>
    <t>Vincitore partita 54</t>
  </si>
  <si>
    <t>Vencedor Jogo 54</t>
  </si>
  <si>
    <t>Ganador partido 54</t>
  </si>
  <si>
    <t>Match 55 Vainqueur</t>
  </si>
  <si>
    <t>Sieger Spiel 55</t>
  </si>
  <si>
    <t>Vincitore partita 55</t>
  </si>
  <si>
    <t>Vencedor Jogo 55</t>
  </si>
  <si>
    <t>Ganador partido 55</t>
  </si>
  <si>
    <t>Match 56 Vainqueur</t>
  </si>
  <si>
    <t>Sieger Spiel 56</t>
  </si>
  <si>
    <t>Vincitore partita 56</t>
  </si>
  <si>
    <t>Vencedor Jogo 56</t>
  </si>
  <si>
    <t>Ganador partido 56</t>
  </si>
  <si>
    <t>Match 57 Vainqueur</t>
  </si>
  <si>
    <t>Sieger Spiel 57</t>
  </si>
  <si>
    <t>Vincitore partita 57</t>
  </si>
  <si>
    <t>Vencedor Jogo 57</t>
  </si>
  <si>
    <t>Ganador partido 57</t>
  </si>
  <si>
    <t>Match 58 Vainqueur</t>
  </si>
  <si>
    <t>Sieger Spiel 58</t>
  </si>
  <si>
    <t>Vincitore partita 58</t>
  </si>
  <si>
    <t>Vencedor Jogo 58</t>
  </si>
  <si>
    <t>Ganador partido 58</t>
  </si>
  <si>
    <t>Match 59 Vainqueur</t>
  </si>
  <si>
    <t>Sieger Spiel 59</t>
  </si>
  <si>
    <t>Vincitore partita 59</t>
  </si>
  <si>
    <t>Vencedor Jogo 59</t>
  </si>
  <si>
    <t>Ganador partido 59</t>
  </si>
  <si>
    <t>Match 60 Vainqueur</t>
  </si>
  <si>
    <t>Sieger Spiel 60</t>
  </si>
  <si>
    <t>Vincitore partita 60</t>
  </si>
  <si>
    <t>Vencedor Jogo 60</t>
  </si>
  <si>
    <t>Ganador partido 60</t>
  </si>
  <si>
    <t>Match 61 Vainqueur</t>
  </si>
  <si>
    <t>Sieger Spiel 61</t>
  </si>
  <si>
    <t>Vincitore partita 61</t>
  </si>
  <si>
    <t>Vencedor Jogo 61</t>
  </si>
  <si>
    <t>Ganador partido 61</t>
  </si>
  <si>
    <t>Match 62 Vainqueur</t>
  </si>
  <si>
    <t>Sieger Spiel 62</t>
  </si>
  <si>
    <t>Vincitore partita 62</t>
  </si>
  <si>
    <t>Vencedor Jogo 62</t>
  </si>
  <si>
    <t>Ganador partido 62</t>
  </si>
  <si>
    <t>Match 63 Vainqueur</t>
  </si>
  <si>
    <t>Sieger Spiel 63</t>
  </si>
  <si>
    <t>Vincitore partita 63</t>
  </si>
  <si>
    <t>Vencedor Jogo 63</t>
  </si>
  <si>
    <t>Ganador partido 63</t>
  </si>
  <si>
    <t>Match 64 Vainqueur</t>
  </si>
  <si>
    <t>Sieger Spiel 64</t>
  </si>
  <si>
    <t>Vincitore partita 64</t>
  </si>
  <si>
    <t>Vencedor Jogo 64</t>
  </si>
  <si>
    <t>Ganador del partido 64</t>
  </si>
  <si>
    <t xml:space="preserve">Joué </t>
  </si>
  <si>
    <t>Giocate</t>
  </si>
  <si>
    <t>Jugados</t>
  </si>
  <si>
    <t>Gagné</t>
  </si>
  <si>
    <t>Gewonnen</t>
  </si>
  <si>
    <t>Vinte</t>
  </si>
  <si>
    <t>Vitórias</t>
  </si>
  <si>
    <t>Ganados</t>
  </si>
  <si>
    <t>Nul</t>
  </si>
  <si>
    <t>Unentschieden</t>
  </si>
  <si>
    <t>Pareggiate</t>
  </si>
  <si>
    <t>Empates</t>
  </si>
  <si>
    <t>Empatados</t>
  </si>
  <si>
    <t>Perdu</t>
  </si>
  <si>
    <t>Verloren</t>
  </si>
  <si>
    <t>Perse</t>
  </si>
  <si>
    <t>Derrotas</t>
  </si>
  <si>
    <t>Perdidos</t>
  </si>
  <si>
    <t>But pour</t>
  </si>
  <si>
    <t>Tore</t>
  </si>
  <si>
    <t>Goal segnati</t>
  </si>
  <si>
    <t>Golos Marcados</t>
  </si>
  <si>
    <t>Goles a favor</t>
  </si>
  <si>
    <t>But contre</t>
  </si>
  <si>
    <t>Gegentore</t>
  </si>
  <si>
    <t>Goal subiti</t>
  </si>
  <si>
    <t>Golos Sofridos</t>
  </si>
  <si>
    <t>Goles en contra</t>
  </si>
  <si>
    <t>Punkte</t>
  </si>
  <si>
    <t>Punti</t>
  </si>
  <si>
    <t>Pontos</t>
  </si>
  <si>
    <t>Puntos</t>
  </si>
  <si>
    <t>Deuxième place</t>
  </si>
  <si>
    <t>Zweiter Platz</t>
  </si>
  <si>
    <t>Secondo posto</t>
  </si>
  <si>
    <t>Segundo Lugar</t>
  </si>
  <si>
    <t>Segunda puesto</t>
  </si>
  <si>
    <t>Groupe A</t>
  </si>
  <si>
    <t>Gruppe A</t>
  </si>
  <si>
    <t>Gruppo A</t>
  </si>
  <si>
    <t>Grupo A</t>
  </si>
  <si>
    <t>Groupe B</t>
  </si>
  <si>
    <t>Gruppe B</t>
  </si>
  <si>
    <t>Gruppo B</t>
  </si>
  <si>
    <t>Grupo B</t>
  </si>
  <si>
    <t>Groupe C</t>
  </si>
  <si>
    <t>Gruppe C</t>
  </si>
  <si>
    <t>Gruppo C</t>
  </si>
  <si>
    <t>Grupo C</t>
  </si>
  <si>
    <t>Groupe D</t>
  </si>
  <si>
    <t>Gruppe D</t>
  </si>
  <si>
    <t>Gruppo D</t>
  </si>
  <si>
    <t>Grupo D</t>
  </si>
  <si>
    <t>Groupe E</t>
  </si>
  <si>
    <t>Gruppe E</t>
  </si>
  <si>
    <t>Gruppo E</t>
  </si>
  <si>
    <t>Grupo E</t>
  </si>
  <si>
    <t>Groupe F</t>
  </si>
  <si>
    <t>Gruppe F</t>
  </si>
  <si>
    <t>Gruppo F</t>
  </si>
  <si>
    <t>Grupo F</t>
  </si>
  <si>
    <t>Groupe G</t>
  </si>
  <si>
    <t>Gruppe G</t>
  </si>
  <si>
    <t>Gruppo G</t>
  </si>
  <si>
    <t>Grupo G</t>
  </si>
  <si>
    <t>Groupe H</t>
  </si>
  <si>
    <t>Gruppe H</t>
  </si>
  <si>
    <t>Gruppo H</t>
  </si>
  <si>
    <t>Grupo H</t>
  </si>
  <si>
    <t>Match 49 Vainqueur</t>
  </si>
  <si>
    <t>Sieger Spiel 49</t>
  </si>
  <si>
    <t>Vincitore partita 49</t>
  </si>
  <si>
    <t>Vencedor Jogo 49</t>
  </si>
  <si>
    <t>Ganador partido 49</t>
  </si>
  <si>
    <t>Match 50 Vainqueur</t>
  </si>
  <si>
    <t>Sieger Spiel 50</t>
  </si>
  <si>
    <t>Vincitore partita 50</t>
  </si>
  <si>
    <t>Vencedor Jogo 50</t>
  </si>
  <si>
    <t>Ganador partido 50</t>
  </si>
  <si>
    <t>Match 51 Vainqueur</t>
  </si>
  <si>
    <t>Sieger Spiel 51</t>
  </si>
  <si>
    <t>Vincitore partita 51</t>
  </si>
  <si>
    <t>Vencedor Jogo 51</t>
  </si>
  <si>
    <t>Ganador partido 51</t>
  </si>
  <si>
    <t>Match 52 Vainqueur</t>
  </si>
  <si>
    <t>Sieger Spiel 52</t>
  </si>
  <si>
    <t>Vincitore partita 52</t>
  </si>
  <si>
    <t>Vencedor Jogo 52</t>
  </si>
  <si>
    <t>Ganador partido 52</t>
  </si>
  <si>
    <t>Match 61 Perdant</t>
  </si>
  <si>
    <t>Verlierer Spiel 61</t>
  </si>
  <si>
    <t>Perdente partita 61</t>
  </si>
  <si>
    <t>Derrotado Jogo 61</t>
  </si>
  <si>
    <t>Perdedor partido 61</t>
  </si>
  <si>
    <t>Match 62 Perdant</t>
  </si>
  <si>
    <t>Verlierer Spiel 62</t>
  </si>
  <si>
    <t>Perdente partita 62</t>
  </si>
  <si>
    <t>Derrotado Jogo 62</t>
  </si>
  <si>
    <t>Perdedor partido 62</t>
  </si>
  <si>
    <t>Lieu</t>
  </si>
  <si>
    <t>Veranstaltungsort</t>
  </si>
  <si>
    <t>Luogo</t>
  </si>
  <si>
    <t>Local</t>
  </si>
  <si>
    <t>Evento</t>
  </si>
  <si>
    <t>Weltmeister 2022</t>
  </si>
  <si>
    <t>Campeón de la Copa del Mundo 2022</t>
  </si>
  <si>
    <t>Won in Group Stages</t>
  </si>
  <si>
    <t>Lose in Group and KO Stages</t>
  </si>
  <si>
    <t>Fill full time scores in column H and I</t>
  </si>
  <si>
    <t>Fill penalty shoot out scores in column L and M</t>
  </si>
  <si>
    <t>Group standings will be calculated automatically based on official FIFA World Cup Tie Breaker regulation</t>
  </si>
  <si>
    <t>Won by KO Rounds</t>
  </si>
  <si>
    <t>Original</t>
  </si>
  <si>
    <t>Time Difference with Qatar Time ►</t>
  </si>
  <si>
    <t>Language ►</t>
  </si>
  <si>
    <t>Custom Language Translation Title ►</t>
  </si>
  <si>
    <t>◄</t>
  </si>
  <si>
    <t>Select your time preference by adding or subtracting your local time with Qatar time</t>
  </si>
  <si>
    <t>Do not forget to select your Custom Language translation title in cell C5 to translate matches worksheet to your language after you filling all translation rows in column C</t>
  </si>
  <si>
    <t>FIFA World Ranking points for your reference only. Do not need to change.</t>
  </si>
  <si>
    <t>You may need to type FAIR PLAY points if two or more teams in group standings have to go through tie-breaker 7 where their standings is decided by fair play point</t>
  </si>
  <si>
    <t>TIE BREAKER REGULATION</t>
  </si>
  <si>
    <t>Points obtained in all group matches;</t>
  </si>
  <si>
    <t>Goal difference in all group matches;</t>
  </si>
  <si>
    <t>Number of goals scored in all group matches;</t>
  </si>
  <si>
    <t>Points obtained in the matches played between the teams in question;</t>
  </si>
  <si>
    <t>Goal difference in the matches played between the teams in question;</t>
  </si>
  <si>
    <t>Number of goals scored in the matches played between the teams in question;</t>
  </si>
  <si>
    <t>Fair play points in all group matches (only one deduction can be applied to a player in a single match):</t>
  </si>
  <si>
    <t>Drawing of lots.</t>
  </si>
  <si>
    <t>&gt; Yellow card: −1 point;</t>
  </si>
  <si>
    <t>&gt; Indirect red card (second yellow card): −3 points;</t>
  </si>
  <si>
    <t>&gt; Direct red card: −4 points;</t>
  </si>
  <si>
    <t>&gt; Yellow card and direct red card: −5 points;</t>
  </si>
  <si>
    <t>The ranking of teams in the group stage is determined as follows:</t>
  </si>
  <si>
    <t>source :</t>
  </si>
  <si>
    <t>https://digitalhub.fifa.com/m/2744a0a5e3ded185/original/FIFA-World-Cup-Qatar-2022-Regulations_EN.pdf</t>
  </si>
  <si>
    <t>BN7</t>
  </si>
  <si>
    <t>BN8</t>
  </si>
  <si>
    <t>BN9</t>
  </si>
  <si>
    <t>BN10</t>
  </si>
  <si>
    <t>BN11</t>
  </si>
  <si>
    <t>BN12</t>
  </si>
  <si>
    <t>BN13</t>
  </si>
  <si>
    <t>BN14</t>
  </si>
  <si>
    <t>BN15</t>
  </si>
  <si>
    <t>BN16</t>
  </si>
  <si>
    <t>BN17</t>
  </si>
  <si>
    <t>BN18</t>
  </si>
  <si>
    <t>BN19</t>
  </si>
  <si>
    <t>BN20</t>
  </si>
  <si>
    <t>BN21</t>
  </si>
  <si>
    <t>BN22</t>
  </si>
  <si>
    <t>BN23</t>
  </si>
  <si>
    <t>BN24</t>
  </si>
  <si>
    <t>BN25</t>
  </si>
  <si>
    <t>BN26</t>
  </si>
  <si>
    <t>BN27</t>
  </si>
  <si>
    <t>BN28</t>
  </si>
  <si>
    <t>BN29</t>
  </si>
  <si>
    <t>BN30</t>
  </si>
  <si>
    <t>BN31</t>
  </si>
  <si>
    <t>BN32</t>
  </si>
  <si>
    <t>BN33</t>
  </si>
  <si>
    <t>BN34</t>
  </si>
  <si>
    <t>BN35</t>
  </si>
  <si>
    <t>BN36</t>
  </si>
  <si>
    <t>BN37</t>
  </si>
  <si>
    <t>BN38</t>
  </si>
  <si>
    <t>MATCHES ARE SORTED BY MATCH TIME NOT MATCH NUMBER</t>
  </si>
  <si>
    <t>matches source reference :</t>
  </si>
  <si>
    <t>https://www.fifa.com/tournaments/mens/worldcup/qatar2022/news/match-schedule-fwc22</t>
  </si>
  <si>
    <t>DO NOT SORT MATCHES BY MATCH NUMBER. IT WILL BREAK COUNTRY REFERENCE FORMULA</t>
  </si>
  <si>
    <t>Do not change or sort country order. It will break country reference formula</t>
  </si>
  <si>
    <t>World Cup 2022 Schedule</t>
  </si>
  <si>
    <t>Knock Out Rounds</t>
  </si>
  <si>
    <t>LICENSE</t>
  </si>
  <si>
    <t>ABOUT</t>
  </si>
  <si>
    <t>UPDATE</t>
  </si>
  <si>
    <t>Editiion</t>
  </si>
  <si>
    <t>Version</t>
  </si>
  <si>
    <t>License</t>
  </si>
  <si>
    <t>Single User</t>
  </si>
  <si>
    <t>DO NOT REMOVE COPYRIGHT NOTICE</t>
  </si>
  <si>
    <t>Product Info</t>
  </si>
  <si>
    <t>https://journalsheet.com</t>
  </si>
  <si>
    <t>Support</t>
  </si>
  <si>
    <t>support@journalsheet.com</t>
  </si>
  <si>
    <t>IT WILL BREAK FORMULA &amp; YOUR SPREADSHEET WON'T WORK PROPERLY</t>
  </si>
  <si>
    <t>Copyrights ©</t>
  </si>
  <si>
    <t>2022 | journalSHEET.com</t>
  </si>
  <si>
    <r>
      <t>journal</t>
    </r>
    <r>
      <rPr>
        <b/>
        <sz val="22"/>
        <color rgb="FF00B050"/>
        <rFont val="Calibri"/>
        <family val="2"/>
        <scheme val="minor"/>
      </rPr>
      <t>SHEET</t>
    </r>
    <r>
      <rPr>
        <b/>
        <sz val="22"/>
        <color theme="0"/>
        <rFont val="Calibri"/>
        <family val="2"/>
        <scheme val="minor"/>
      </rPr>
      <t>.com</t>
    </r>
  </si>
  <si>
    <t>US$ 8.8</t>
  </si>
  <si>
    <r>
      <t xml:space="preserve">Select your language. There are only 6 translated language. You can translate default English language to your own by typing its translation in column C. </t>
    </r>
    <r>
      <rPr>
        <sz val="11"/>
        <color rgb="FFFF0000"/>
        <rFont val="Calibri"/>
        <family val="2"/>
        <scheme val="minor"/>
      </rPr>
      <t>YOU NEED TO TRANSLATE ALL TEXTS FROM COLUMN B</t>
    </r>
    <r>
      <rPr>
        <sz val="11"/>
        <rFont val="Calibri"/>
        <family val="2"/>
        <scheme val="minor"/>
      </rPr>
      <t xml:space="preserve"> if you want to use your own translation.</t>
    </r>
  </si>
  <si>
    <t>DO NOT REMOVE COPYRIGHT NOTICE. SPREADSHEET WON'T WORK PROPERLY</t>
  </si>
  <si>
    <t>V2.5 - Initial release (06/25/22)</t>
  </si>
  <si>
    <t>get more soccer spreadsheets in journalSHEET.com</t>
  </si>
  <si>
    <t>Spielplan der WM 2022</t>
  </si>
  <si>
    <t>Vizeweltmeister 2022</t>
  </si>
  <si>
    <t>WM 2022 3. Platz</t>
  </si>
  <si>
    <t>Dritter Platz</t>
  </si>
  <si>
    <t>Knock-out-Runden</t>
  </si>
  <si>
    <t>Calendrier de la Coupe du monde 2022</t>
  </si>
  <si>
    <t>Vainqueur de la coupe du monde 2022</t>
  </si>
  <si>
    <t>Finaliste de la Coupe du monde 2022</t>
  </si>
  <si>
    <t>Coupe du monde 2022 3e place</t>
  </si>
  <si>
    <t>Troisième place</t>
  </si>
  <si>
    <t>Rondes à élimination directe</t>
  </si>
  <si>
    <t>Calendario dei Mondiali 2022</t>
  </si>
  <si>
    <t>Campione della Coppa del Mondo 2022</t>
  </si>
  <si>
    <t>Secondo classificato ai Mondiali 2022</t>
  </si>
  <si>
    <t>3° posto Coppa del Mondo 2022</t>
  </si>
  <si>
    <t>Terzo posto</t>
  </si>
  <si>
    <t>Round ad eliminazione diretta</t>
  </si>
  <si>
    <t>Jogos da Copa do Mundo 2022</t>
  </si>
  <si>
    <t>Campeão da Copa do Mundo 2022</t>
  </si>
  <si>
    <t>Vice-campeão da Copa do Mundo de 2022</t>
  </si>
  <si>
    <t>3º Lugar Copa do Mundo 2022</t>
  </si>
  <si>
    <t>Terceiro lugar</t>
  </si>
  <si>
    <t>Rodadas de nocaute</t>
  </si>
  <si>
    <t>Calendario de la Copa Mundial 2022</t>
  </si>
  <si>
    <t>Subcampeón de la Copa del Mundo 2022</t>
  </si>
  <si>
    <t>Copa del Mundo 2022 3er Lugar</t>
  </si>
  <si>
    <t>Tercer lugar</t>
  </si>
  <si>
    <t>Rondas eliminatorias</t>
  </si>
  <si>
    <r>
      <rPr>
        <b/>
        <sz val="12"/>
        <color theme="0"/>
        <rFont val="Calibri"/>
        <family val="2"/>
        <scheme val="minor"/>
      </rPr>
      <t xml:space="preserve">WANNA PLAY PREDICTION GAME with YOUR FRIENDS? </t>
    </r>
    <r>
      <rPr>
        <b/>
        <sz val="14"/>
        <color rgb="FFFFFF00"/>
        <rFont val="Calibri"/>
        <family val="2"/>
        <scheme val="minor"/>
      </rPr>
      <t xml:space="preserve">
CLICK HERE TO GET PREDICTOR GAME SPREADSHEET</t>
    </r>
  </si>
  <si>
    <t>WORLD CUP 2022 FIXTURES | FULLY EDITABLE</t>
  </si>
  <si>
    <t>V2.51 - Update language reference (07/01/22)</t>
  </si>
  <si>
    <t>V2.52 - Change match 1 &amp; 2 schedule to follow FIFA revised schedule (08/12/22)</t>
  </si>
  <si>
    <t>2.52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</si>
</sst>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
    <numFmt numFmtId="165" formatCode="hh:mm;@"/>
    <numFmt numFmtId="166" formatCode="m/d/yy\ h:mm;@"/>
  </numFmts>
  <fonts count="35" x14ac:knownFonts="1">
    <font>
      <sz val="10"/>
      <name val="Arial"/>
      <family val="2"/>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theme="5" tint="-0.499984740745262"/>
      <name val="Calibri"/>
      <family val="2"/>
      <scheme val="minor"/>
    </font>
    <font>
      <sz val="11"/>
      <color indexed="10"/>
      <name val="Calibri"/>
      <family val="2"/>
      <scheme val="minor"/>
    </font>
    <font>
      <sz val="11"/>
      <color rgb="FFC00000"/>
      <name val="Calibri"/>
      <family val="2"/>
      <scheme val="minor"/>
    </font>
    <font>
      <b/>
      <sz val="28"/>
      <name val="Calibri"/>
      <family val="2"/>
      <scheme val="minor"/>
    </font>
    <font>
      <sz val="10"/>
      <name val="Calibri"/>
      <family val="2"/>
      <scheme val="minor"/>
    </font>
    <font>
      <sz val="11"/>
      <color theme="5" tint="-0.499984740745262"/>
      <name val="Wingdings 3"/>
      <family val="1"/>
      <charset val="2"/>
    </font>
    <font>
      <i/>
      <sz val="11"/>
      <name val="Calibri"/>
      <family val="2"/>
      <scheme val="minor"/>
    </font>
    <font>
      <sz val="10"/>
      <color theme="0"/>
      <name val="Calibri"/>
      <family val="2"/>
      <scheme val="minor"/>
    </font>
    <font>
      <b/>
      <sz val="10"/>
      <color theme="0"/>
      <name val="Calibri"/>
      <family val="2"/>
      <scheme val="minor"/>
    </font>
    <font>
      <b/>
      <sz val="10"/>
      <name val="Calibri"/>
      <family val="2"/>
      <scheme val="minor"/>
    </font>
    <font>
      <sz val="18"/>
      <color theme="0"/>
      <name val="Calibri"/>
      <family val="2"/>
      <scheme val="minor"/>
    </font>
    <font>
      <b/>
      <sz val="11"/>
      <name val="Calibri"/>
      <family val="2"/>
      <scheme val="minor"/>
    </font>
    <font>
      <b/>
      <sz val="11"/>
      <color indexed="9"/>
      <name val="Calibri"/>
      <family val="2"/>
      <scheme val="minor"/>
    </font>
    <font>
      <i/>
      <sz val="11"/>
      <color theme="1" tint="0.499984740745262"/>
      <name val="Calibri"/>
      <family val="2"/>
      <scheme val="minor"/>
    </font>
    <font>
      <b/>
      <sz val="11"/>
      <color theme="5" tint="-0.249977111117893"/>
      <name val="Calibri"/>
      <family val="2"/>
      <scheme val="minor"/>
    </font>
    <font>
      <u/>
      <sz val="10"/>
      <color indexed="12"/>
      <name val="Arial"/>
      <family val="2"/>
    </font>
    <font>
      <sz val="10"/>
      <color rgb="FFFF0000"/>
      <name val="Arial"/>
      <family val="2"/>
    </font>
    <font>
      <b/>
      <sz val="14"/>
      <name val="Calibri"/>
      <family val="2"/>
      <scheme val="minor"/>
    </font>
    <font>
      <b/>
      <sz val="26"/>
      <name val="Calibri"/>
      <family val="2"/>
      <scheme val="minor"/>
    </font>
    <font>
      <u/>
      <sz val="11"/>
      <color indexed="12"/>
      <name val="Calibri"/>
      <family val="2"/>
      <scheme val="minor"/>
    </font>
    <font>
      <b/>
      <sz val="11"/>
      <color rgb="FFFF0000"/>
      <name val="Calibri"/>
      <family val="2"/>
      <scheme val="minor"/>
    </font>
    <font>
      <sz val="10"/>
      <name val="Arial"/>
      <family val="2"/>
    </font>
    <font>
      <b/>
      <sz val="22"/>
      <color theme="0"/>
      <name val="Calibri"/>
      <family val="2"/>
      <scheme val="minor"/>
    </font>
    <font>
      <u/>
      <sz val="11"/>
      <color theme="0"/>
      <name val="Calibri"/>
      <family val="2"/>
      <scheme val="minor"/>
    </font>
    <font>
      <sz val="12"/>
      <color theme="0"/>
      <name val="Calibri"/>
      <family val="2"/>
      <scheme val="minor"/>
    </font>
    <font>
      <sz val="11"/>
      <color theme="0" tint="-4.9989318521683403E-2"/>
      <name val="Calibri"/>
      <family val="2"/>
      <scheme val="minor"/>
    </font>
    <font>
      <b/>
      <sz val="22"/>
      <color rgb="FF00B050"/>
      <name val="Calibri"/>
      <family val="2"/>
      <scheme val="minor"/>
    </font>
    <font>
      <b/>
      <sz val="12"/>
      <color theme="0"/>
      <name val="Calibri"/>
      <family val="2"/>
      <scheme val="minor"/>
    </font>
    <font>
      <b/>
      <sz val="20"/>
      <name val="Calibri"/>
      <family val="2"/>
      <scheme val="minor"/>
    </font>
    <font>
      <b/>
      <sz val="14"/>
      <color rgb="FFFFFF00"/>
      <name val="Calibri"/>
      <family val="2"/>
      <scheme val="minor"/>
    </font>
  </fonts>
  <fills count="20">
    <fill>
      <patternFill patternType="none"/>
    </fill>
    <fill>
      <patternFill patternType="gray125"/>
    </fill>
    <fill>
      <patternFill patternType="solid">
        <fgColor theme="5"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1"/>
        <bgColor indexed="64"/>
      </patternFill>
    </fill>
    <fill>
      <patternFill patternType="solid">
        <fgColor rgb="FFFF0000"/>
        <bgColor indexed="64"/>
      </patternFill>
    </fill>
    <fill>
      <patternFill patternType="solid">
        <fgColor rgb="FFC00000"/>
        <bgColor indexed="64"/>
      </patternFill>
    </fill>
    <fill>
      <patternFill patternType="solid">
        <fgColor rgb="FF008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theme="8" tint="-0.499984740745262"/>
      </top>
      <bottom/>
      <diagonal/>
    </border>
    <border>
      <left/>
      <right style="thin">
        <color indexed="64"/>
      </right>
      <top style="thin">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theme="0"/>
      </right>
      <top style="thin">
        <color indexed="64"/>
      </top>
      <bottom style="medium">
        <color theme="0"/>
      </bottom>
      <diagonal/>
    </border>
    <border>
      <left style="medium">
        <color theme="0"/>
      </left>
      <right/>
      <top style="thin">
        <color indexed="64"/>
      </top>
      <bottom style="medium">
        <color theme="0"/>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medium">
        <color theme="0"/>
      </right>
      <top/>
      <bottom style="thin">
        <color theme="0" tint="-4.9989318521683403E-2"/>
      </bottom>
      <diagonal/>
    </border>
    <border>
      <left style="medium">
        <color theme="0"/>
      </left>
      <right/>
      <top/>
      <bottom style="thin">
        <color theme="0" tint="-4.9989318521683403E-2"/>
      </bottom>
      <diagonal/>
    </border>
    <border>
      <left/>
      <right style="medium">
        <color theme="0"/>
      </right>
      <top style="thin">
        <color theme="0" tint="-4.9989318521683403E-2"/>
      </top>
      <bottom style="thin">
        <color theme="0" tint="-4.9989318521683403E-2"/>
      </bottom>
      <diagonal/>
    </border>
    <border>
      <left style="medium">
        <color theme="0"/>
      </left>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medium">
        <color theme="0"/>
      </right>
      <top style="thin">
        <color theme="0" tint="-4.9989318521683403E-2"/>
      </top>
      <bottom style="thin">
        <color indexed="64"/>
      </bottom>
      <diagonal/>
    </border>
    <border>
      <left style="medium">
        <color theme="0"/>
      </left>
      <right/>
      <top style="thin">
        <color theme="0" tint="-4.9989318521683403E-2"/>
      </top>
      <bottom style="thin">
        <color indexed="64"/>
      </bottom>
      <diagonal/>
    </border>
    <border>
      <left/>
      <right style="thin">
        <color theme="0" tint="-4.9989318521683403E-2"/>
      </right>
      <top style="medium">
        <color theme="0"/>
      </top>
      <bottom style="thin">
        <color theme="0" tint="-4.9989318521683403E-2"/>
      </bottom>
      <diagonal/>
    </border>
    <border>
      <left style="thin">
        <color theme="0" tint="-4.9989318521683403E-2"/>
      </left>
      <right/>
      <top style="medium">
        <color theme="0"/>
      </top>
      <bottom style="thin">
        <color theme="0" tint="-4.9989318521683403E-2"/>
      </bottom>
      <diagonal/>
    </border>
    <border>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right style="thin">
        <color theme="0" tint="-4.9989318521683403E-2"/>
      </right>
      <top/>
      <bottom style="thin">
        <color indexed="64"/>
      </bottom>
      <diagonal/>
    </border>
    <border>
      <left style="thin">
        <color theme="0" tint="-4.9989318521683403E-2"/>
      </left>
      <right/>
      <top/>
      <bottom style="thin">
        <color indexed="64"/>
      </bottom>
      <diagonal/>
    </border>
    <border>
      <left/>
      <right style="thin">
        <color theme="0" tint="-4.9989318521683403E-2"/>
      </right>
      <top style="thin">
        <color indexed="64"/>
      </top>
      <bottom style="thin">
        <color indexed="64"/>
      </bottom>
      <diagonal/>
    </border>
    <border>
      <left style="thin">
        <color theme="0" tint="-4.9989318521683403E-2"/>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26" fillId="0" borderId="0"/>
  </cellStyleXfs>
  <cellXfs count="277">
    <xf numFmtId="0" fontId="0" fillId="0" borderId="0" xfId="0"/>
    <xf numFmtId="0" fontId="4" fillId="2" borderId="0" xfId="0" applyFont="1" applyFill="1" applyBorder="1" applyProtection="1">
      <protection hidden="1"/>
    </xf>
    <xf numFmtId="0" fontId="4" fillId="2" borderId="0" xfId="0" applyFont="1" applyFill="1" applyBorder="1" applyAlignment="1" applyProtection="1">
      <alignment horizontal="left" indent="1"/>
      <protection hidden="1"/>
    </xf>
    <xf numFmtId="0" fontId="4" fillId="2" borderId="0" xfId="0" applyFont="1" applyFill="1" applyBorder="1" applyAlignment="1" applyProtection="1">
      <alignment wrapText="1"/>
      <protection hidden="1"/>
    </xf>
    <xf numFmtId="0" fontId="5" fillId="2" borderId="0" xfId="0" applyFont="1" applyFill="1" applyBorder="1" applyAlignment="1" applyProtection="1">
      <alignment horizontal="center"/>
      <protection hidden="1"/>
    </xf>
    <xf numFmtId="0" fontId="4" fillId="2" borderId="0" xfId="0" applyFont="1" applyFill="1" applyBorder="1" applyAlignment="1" applyProtection="1">
      <alignment horizontal="right" indent="1"/>
      <protection hidden="1"/>
    </xf>
    <xf numFmtId="0" fontId="6" fillId="2" borderId="0" xfId="0" applyFont="1" applyFill="1" applyBorder="1" applyProtection="1">
      <protection hidden="1"/>
    </xf>
    <xf numFmtId="0" fontId="7" fillId="2" borderId="0" xfId="0" applyFont="1" applyFill="1" applyBorder="1" applyProtection="1">
      <protection hidden="1"/>
    </xf>
    <xf numFmtId="0" fontId="7" fillId="2" borderId="0" xfId="0" applyFont="1" applyFill="1" applyBorder="1" applyAlignment="1" applyProtection="1">
      <alignment horizontal="left" indent="1"/>
      <protection hidden="1"/>
    </xf>
    <xf numFmtId="0" fontId="3" fillId="2" borderId="0" xfId="0" applyFont="1" applyFill="1" applyBorder="1" applyAlignment="1" applyProtection="1">
      <alignment horizontal="center"/>
      <protection hidden="1"/>
    </xf>
    <xf numFmtId="0" fontId="2" fillId="2" borderId="0" xfId="0" applyFont="1" applyFill="1" applyBorder="1" applyProtection="1">
      <protection hidden="1"/>
    </xf>
    <xf numFmtId="0" fontId="4" fillId="0" borderId="0" xfId="0" applyFont="1" applyFill="1" applyBorder="1" applyAlignment="1" applyProtection="1">
      <alignment vertical="center"/>
      <protection hidden="1"/>
    </xf>
    <xf numFmtId="0" fontId="8" fillId="0" borderId="0" xfId="0" applyFont="1" applyBorder="1" applyAlignment="1" applyProtection="1">
      <alignment horizontal="left" vertical="center"/>
      <protection hidden="1"/>
    </xf>
    <xf numFmtId="0" fontId="4" fillId="0" borderId="0" xfId="0" applyFont="1" applyBorder="1" applyAlignment="1" applyProtection="1">
      <alignment vertical="center" wrapText="1"/>
      <protection hidden="1"/>
    </xf>
    <xf numFmtId="0" fontId="5" fillId="0" borderId="0" xfId="0" applyFont="1" applyBorder="1" applyAlignment="1" applyProtection="1">
      <alignment vertical="center"/>
      <protection hidden="1"/>
    </xf>
    <xf numFmtId="0" fontId="4" fillId="0" borderId="0" xfId="0" applyFont="1" applyBorder="1" applyAlignment="1" applyProtection="1">
      <alignment horizontal="right" vertical="center" indent="1"/>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left" vertical="center" indent="1"/>
      <protection hidden="1"/>
    </xf>
    <xf numFmtId="0" fontId="9" fillId="0" borderId="0" xfId="0"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0" xfId="0" applyFont="1" applyFill="1" applyBorder="1" applyAlignment="1" applyProtection="1">
      <alignment vertical="center"/>
      <protection hidden="1"/>
    </xf>
    <xf numFmtId="0" fontId="7" fillId="0" borderId="0" xfId="0" applyFont="1" applyBorder="1" applyAlignment="1" applyProtection="1">
      <alignment horizontal="left" vertical="center" indent="1"/>
      <protection hidden="1"/>
    </xf>
    <xf numFmtId="0" fontId="3" fillId="0" borderId="0" xfId="0" applyFont="1" applyBorder="1" applyAlignment="1" applyProtection="1">
      <alignment horizontal="center" vertical="center"/>
      <protection hidden="1"/>
    </xf>
    <xf numFmtId="0" fontId="2" fillId="0" borderId="0" xfId="0" applyFont="1" applyBorder="1" applyAlignment="1" applyProtection="1">
      <alignment vertical="center"/>
      <protection hidden="1"/>
    </xf>
    <xf numFmtId="0" fontId="6" fillId="0" borderId="0" xfId="0" applyFont="1" applyBorder="1" applyAlignment="1" applyProtection="1">
      <alignment vertical="center"/>
      <protection hidden="1"/>
    </xf>
    <xf numFmtId="0" fontId="4" fillId="0" borderId="0" xfId="0" applyFont="1" applyAlignment="1" applyProtection="1">
      <alignment horizontal="left" vertical="center" indent="1"/>
      <protection hidden="1"/>
    </xf>
    <xf numFmtId="0" fontId="4"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1" xfId="0" applyFont="1" applyFill="1" applyBorder="1" applyAlignment="1" applyProtection="1">
      <alignment vertical="center"/>
      <protection locked="0"/>
    </xf>
    <xf numFmtId="0" fontId="1" fillId="0" borderId="0" xfId="0" applyFont="1" applyFill="1" applyBorder="1" applyAlignment="1" applyProtection="1">
      <alignment vertical="center"/>
      <protection hidden="1"/>
    </xf>
    <xf numFmtId="0" fontId="4" fillId="0" borderId="1" xfId="0" applyFont="1" applyBorder="1" applyAlignment="1" applyProtection="1">
      <alignment horizontal="center" vertical="center"/>
      <protection locked="0"/>
    </xf>
    <xf numFmtId="0" fontId="4" fillId="2" borderId="0" xfId="0" applyFont="1" applyFill="1" applyBorder="1" applyAlignment="1" applyProtection="1">
      <alignment horizontal="center"/>
      <protection hidden="1"/>
    </xf>
    <xf numFmtId="0" fontId="8" fillId="0" borderId="0" xfId="0" applyFont="1" applyBorder="1" applyAlignment="1" applyProtection="1">
      <alignment vertical="center"/>
      <protection hidden="1"/>
    </xf>
    <xf numFmtId="0" fontId="1" fillId="3" borderId="0" xfId="0" applyFont="1" applyFill="1" applyBorder="1" applyAlignment="1" applyProtection="1">
      <alignment horizontal="left" vertical="center"/>
      <protection hidden="1"/>
    </xf>
    <xf numFmtId="0" fontId="1" fillId="3" borderId="0" xfId="0" applyFont="1" applyFill="1" applyBorder="1" applyAlignment="1" applyProtection="1">
      <alignment horizontal="center" vertical="center"/>
      <protection hidden="1"/>
    </xf>
    <xf numFmtId="0" fontId="1" fillId="3" borderId="0" xfId="0" applyFont="1" applyFill="1" applyBorder="1" applyAlignment="1" applyProtection="1">
      <alignment horizontal="center" vertical="center" wrapText="1"/>
      <protection hidden="1"/>
    </xf>
    <xf numFmtId="0" fontId="1" fillId="3" borderId="0" xfId="0" applyFont="1" applyFill="1" applyBorder="1" applyAlignment="1" applyProtection="1">
      <alignment horizontal="right" vertical="center" indent="1"/>
      <protection hidden="1"/>
    </xf>
    <xf numFmtId="0" fontId="1" fillId="3" borderId="0" xfId="0" applyFont="1" applyFill="1" applyBorder="1" applyAlignment="1" applyProtection="1">
      <alignment horizontal="left" vertical="center" indent="1"/>
      <protection hidden="1"/>
    </xf>
    <xf numFmtId="0" fontId="1" fillId="3" borderId="4" xfId="0" applyFont="1" applyFill="1" applyBorder="1" applyAlignment="1" applyProtection="1">
      <alignment horizontal="left" vertical="center"/>
      <protection hidden="1"/>
    </xf>
    <xf numFmtId="0" fontId="12" fillId="0" borderId="0" xfId="0" applyFont="1" applyBorder="1" applyAlignment="1" applyProtection="1">
      <alignment vertical="center"/>
      <protection hidden="1"/>
    </xf>
    <xf numFmtId="0" fontId="3" fillId="3" borderId="0" xfId="0" applyFont="1" applyFill="1" applyBorder="1" applyAlignment="1" applyProtection="1">
      <alignment vertical="center"/>
      <protection hidden="1"/>
    </xf>
    <xf numFmtId="0" fontId="3" fillId="0" borderId="0" xfId="0" applyFont="1" applyBorder="1" applyAlignment="1" applyProtection="1">
      <alignment vertical="center"/>
      <protection hidden="1"/>
    </xf>
    <xf numFmtId="0" fontId="3" fillId="0" borderId="0" xfId="0" applyFont="1" applyBorder="1" applyProtection="1">
      <protection hidden="1"/>
    </xf>
    <xf numFmtId="0" fontId="1" fillId="2" borderId="0" xfId="0" applyFont="1" applyFill="1" applyBorder="1" applyAlignment="1" applyProtection="1">
      <alignment vertical="center"/>
      <protection hidden="1"/>
    </xf>
    <xf numFmtId="0" fontId="1" fillId="2" borderId="0" xfId="0" applyFont="1" applyFill="1" applyBorder="1" applyAlignment="1" applyProtection="1">
      <alignment vertical="center" wrapText="1"/>
      <protection hidden="1"/>
    </xf>
    <xf numFmtId="0" fontId="1" fillId="2" borderId="0" xfId="0" applyFont="1" applyFill="1" applyBorder="1" applyAlignment="1" applyProtection="1">
      <alignment horizontal="right" vertical="center" indent="1"/>
      <protection hidden="1"/>
    </xf>
    <xf numFmtId="0" fontId="1" fillId="2" borderId="0" xfId="0" applyFont="1" applyFill="1" applyBorder="1" applyAlignment="1" applyProtection="1">
      <alignment horizontal="left" vertical="center" indent="1"/>
      <protection hidden="1"/>
    </xf>
    <xf numFmtId="0" fontId="1" fillId="2" borderId="4" xfId="0" applyFont="1" applyFill="1" applyBorder="1" applyAlignment="1" applyProtection="1">
      <alignment vertical="center"/>
      <protection hidden="1"/>
    </xf>
    <xf numFmtId="0" fontId="13" fillId="2" borderId="0" xfId="0" applyFont="1" applyFill="1" applyBorder="1" applyAlignment="1" applyProtection="1">
      <alignment horizontal="center" vertical="center"/>
      <protection hidden="1"/>
    </xf>
    <xf numFmtId="0" fontId="6" fillId="0" borderId="0" xfId="0" applyFont="1" applyBorder="1" applyProtection="1">
      <protection hidden="1"/>
    </xf>
    <xf numFmtId="0" fontId="4" fillId="4" borderId="0"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164" fontId="4" fillId="0" borderId="5" xfId="0" applyNumberFormat="1" applyFont="1" applyBorder="1" applyAlignment="1" applyProtection="1">
      <alignment horizontal="right" vertical="center" wrapText="1" shrinkToFit="1"/>
      <protection hidden="1"/>
    </xf>
    <xf numFmtId="165" fontId="4" fillId="0" borderId="5" xfId="0" applyNumberFormat="1" applyFont="1" applyBorder="1" applyAlignment="1" applyProtection="1">
      <alignment horizontal="center" vertical="center"/>
      <protection hidden="1"/>
    </xf>
    <xf numFmtId="0" fontId="4" fillId="0" borderId="5" xfId="0" applyFont="1" applyBorder="1" applyAlignment="1" applyProtection="1">
      <alignment horizontal="right" vertical="center"/>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locked="0"/>
    </xf>
    <xf numFmtId="0" fontId="4" fillId="6" borderId="0" xfId="0" applyFont="1" applyFill="1" applyBorder="1" applyAlignment="1" applyProtection="1">
      <alignment horizontal="center" vertical="center"/>
      <protection hidden="1"/>
    </xf>
    <xf numFmtId="16" fontId="4" fillId="6" borderId="0" xfId="0" applyNumberFormat="1" applyFont="1" applyFill="1" applyBorder="1" applyAlignment="1" applyProtection="1">
      <alignment horizontal="right" vertical="center" wrapText="1" shrinkToFit="1"/>
      <protection hidden="1"/>
    </xf>
    <xf numFmtId="165" fontId="4" fillId="6" borderId="0" xfId="0" applyNumberFormat="1" applyFont="1" applyFill="1" applyBorder="1" applyAlignment="1" applyProtection="1">
      <alignment horizontal="center" vertical="center"/>
      <protection hidden="1"/>
    </xf>
    <xf numFmtId="0" fontId="4" fillId="6" borderId="0" xfId="0" applyFont="1" applyFill="1" applyBorder="1" applyAlignment="1" applyProtection="1">
      <alignment horizontal="right" vertical="center"/>
      <protection hidden="1"/>
    </xf>
    <xf numFmtId="0" fontId="4" fillId="6" borderId="0" xfId="0" applyFont="1" applyFill="1" applyBorder="1" applyAlignment="1" applyProtection="1">
      <alignment vertical="center"/>
      <protection hidden="1"/>
    </xf>
    <xf numFmtId="0" fontId="4" fillId="6" borderId="4" xfId="0" applyFont="1" applyFill="1" applyBorder="1" applyAlignment="1" applyProtection="1">
      <alignment vertical="center"/>
      <protection locked="0"/>
    </xf>
    <xf numFmtId="0" fontId="4" fillId="0" borderId="0" xfId="0" applyFont="1" applyBorder="1" applyAlignment="1" applyProtection="1">
      <alignment horizontal="center" vertical="center"/>
      <protection hidden="1"/>
    </xf>
    <xf numFmtId="16" fontId="4" fillId="0" borderId="0" xfId="0" applyNumberFormat="1" applyFont="1" applyBorder="1" applyAlignment="1" applyProtection="1">
      <alignment horizontal="right" vertical="center" wrapText="1" shrinkToFit="1"/>
      <protection hidden="1"/>
    </xf>
    <xf numFmtId="165" fontId="4" fillId="0" borderId="0" xfId="0" applyNumberFormat="1"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4" fillId="0" borderId="4" xfId="0" applyFont="1" applyBorder="1" applyAlignment="1" applyProtection="1">
      <alignment vertical="center"/>
      <protection locked="0"/>
    </xf>
    <xf numFmtId="0" fontId="9" fillId="0" borderId="0" xfId="0" applyFont="1" applyBorder="1" applyAlignment="1" applyProtection="1">
      <alignment horizontal="center" vertical="center"/>
      <protection hidden="1"/>
    </xf>
    <xf numFmtId="0" fontId="9" fillId="0" borderId="0" xfId="0" applyFont="1" applyBorder="1" applyAlignment="1" applyProtection="1">
      <alignment horizontal="left" vertical="center"/>
      <protection locked="0" hidden="1"/>
    </xf>
    <xf numFmtId="0" fontId="9" fillId="0" borderId="0" xfId="0" applyFont="1" applyBorder="1" applyAlignment="1" applyProtection="1">
      <alignment horizontal="left" vertical="center"/>
      <protection hidden="1"/>
    </xf>
    <xf numFmtId="0" fontId="6" fillId="0" borderId="0" xfId="0" applyFont="1" applyFill="1" applyBorder="1" applyAlignment="1" applyProtection="1">
      <alignment vertical="center"/>
      <protection hidden="1"/>
    </xf>
    <xf numFmtId="164" fontId="4" fillId="0" borderId="0" xfId="0" applyNumberFormat="1" applyFont="1" applyBorder="1" applyAlignment="1" applyProtection="1">
      <alignment horizontal="right" vertical="center" wrapText="1" shrinkToFit="1"/>
      <protection hidden="1"/>
    </xf>
    <xf numFmtId="0" fontId="1" fillId="2" borderId="7" xfId="0" applyFont="1" applyFill="1" applyBorder="1" applyAlignment="1" applyProtection="1">
      <alignment horizontal="left" vertical="center"/>
      <protection hidden="1"/>
    </xf>
    <xf numFmtId="0" fontId="3" fillId="2" borderId="8" xfId="0" applyFont="1" applyFill="1" applyBorder="1" applyAlignment="1" applyProtection="1">
      <alignment vertical="center"/>
      <protection hidden="1"/>
    </xf>
    <xf numFmtId="0" fontId="1" fillId="2" borderId="8" xfId="0" applyFont="1" applyFill="1" applyBorder="1" applyAlignment="1" applyProtection="1">
      <alignment horizontal="center" vertical="center" wrapText="1"/>
      <protection hidden="1"/>
    </xf>
    <xf numFmtId="165" fontId="1" fillId="2" borderId="8" xfId="0" applyNumberFormat="1" applyFont="1" applyFill="1" applyBorder="1" applyAlignment="1" applyProtection="1">
      <alignment horizontal="center" vertical="center"/>
      <protection hidden="1"/>
    </xf>
    <xf numFmtId="0" fontId="1" fillId="2" borderId="8" xfId="0" applyFont="1" applyFill="1" applyBorder="1" applyAlignment="1" applyProtection="1">
      <alignment horizontal="right" vertical="center"/>
      <protection hidden="1"/>
    </xf>
    <xf numFmtId="0" fontId="1" fillId="2" borderId="8" xfId="0" applyFont="1" applyFill="1" applyBorder="1" applyAlignment="1" applyProtection="1">
      <alignment horizontal="left" vertical="center"/>
      <protection hidden="1"/>
    </xf>
    <xf numFmtId="0" fontId="1" fillId="2" borderId="9" xfId="0" applyFont="1" applyFill="1" applyBorder="1" applyAlignment="1" applyProtection="1">
      <alignment vertical="center"/>
      <protection locked="0"/>
    </xf>
    <xf numFmtId="0" fontId="4" fillId="4" borderId="10"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hidden="1"/>
    </xf>
    <xf numFmtId="0" fontId="4" fillId="6" borderId="0" xfId="0" applyFont="1" applyFill="1" applyBorder="1" applyAlignment="1" applyProtection="1">
      <alignment horizontal="right"/>
      <protection hidden="1"/>
    </xf>
    <xf numFmtId="0" fontId="4" fillId="6" borderId="4" xfId="0" applyFont="1" applyFill="1" applyBorder="1" applyProtection="1">
      <protection locked="0"/>
    </xf>
    <xf numFmtId="0" fontId="4" fillId="4" borderId="15" xfId="0" applyFont="1" applyFill="1" applyBorder="1" applyAlignment="1" applyProtection="1">
      <alignment horizontal="center" vertical="center"/>
      <protection hidden="1"/>
    </xf>
    <xf numFmtId="0" fontId="4" fillId="0" borderId="0" xfId="0" applyFont="1" applyBorder="1" applyProtection="1">
      <protection hidden="1"/>
    </xf>
    <xf numFmtId="0" fontId="4" fillId="4" borderId="7" xfId="0" applyFont="1" applyFill="1" applyBorder="1" applyAlignment="1" applyProtection="1">
      <alignment horizontal="center" vertical="center"/>
      <protection hidden="1"/>
    </xf>
    <xf numFmtId="0" fontId="3" fillId="2" borderId="1" xfId="0" applyFont="1" applyFill="1" applyBorder="1" applyAlignment="1" applyProtection="1">
      <alignment horizontal="center"/>
      <protection hidden="1"/>
    </xf>
    <xf numFmtId="0" fontId="4" fillId="5" borderId="17"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6" fontId="4" fillId="6" borderId="8" xfId="0" applyNumberFormat="1" applyFont="1" applyFill="1" applyBorder="1" applyAlignment="1" applyProtection="1">
      <alignment horizontal="right" vertical="center" wrapText="1" shrinkToFit="1"/>
      <protection hidden="1"/>
    </xf>
    <xf numFmtId="165" fontId="4" fillId="6" borderId="8" xfId="0" applyNumberFormat="1" applyFont="1" applyFill="1" applyBorder="1" applyAlignment="1" applyProtection="1">
      <alignment horizontal="center" vertical="center"/>
      <protection hidden="1"/>
    </xf>
    <xf numFmtId="0" fontId="4" fillId="6" borderId="8" xfId="0" applyFont="1" applyFill="1" applyBorder="1" applyAlignment="1" applyProtection="1">
      <alignment horizontal="right" vertical="center"/>
      <protection hidden="1"/>
    </xf>
    <xf numFmtId="0" fontId="4" fillId="6" borderId="8" xfId="0" applyFont="1" applyFill="1" applyBorder="1" applyAlignment="1" applyProtection="1">
      <alignment horizontal="right"/>
      <protection hidden="1"/>
    </xf>
    <xf numFmtId="0" fontId="4" fillId="6" borderId="8" xfId="0" applyFont="1" applyFill="1" applyBorder="1" applyAlignment="1" applyProtection="1">
      <alignment vertical="center"/>
      <protection hidden="1"/>
    </xf>
    <xf numFmtId="0" fontId="4" fillId="6" borderId="9" xfId="0" applyFont="1" applyFill="1" applyBorder="1" applyProtection="1">
      <protection locked="0"/>
    </xf>
    <xf numFmtId="0" fontId="17" fillId="0" borderId="0" xfId="0" applyFont="1" applyFill="1" applyBorder="1" applyAlignment="1" applyProtection="1">
      <alignment vertical="center"/>
      <protection hidden="1"/>
    </xf>
    <xf numFmtId="0" fontId="16" fillId="0" borderId="0" xfId="0" applyFont="1" applyBorder="1" applyProtection="1">
      <protection hidden="1"/>
    </xf>
    <xf numFmtId="0" fontId="4" fillId="0" borderId="0" xfId="0" applyFont="1" applyBorder="1" applyAlignment="1" applyProtection="1">
      <alignment wrapText="1"/>
      <protection hidden="1"/>
    </xf>
    <xf numFmtId="0" fontId="4" fillId="0" borderId="0" xfId="0" applyFont="1" applyBorder="1" applyAlignment="1" applyProtection="1">
      <protection hidden="1"/>
    </xf>
    <xf numFmtId="0" fontId="4" fillId="0" borderId="0" xfId="0" applyFont="1" applyBorder="1" applyAlignment="1" applyProtection="1">
      <alignment horizontal="right" indent="1"/>
      <protection hidden="1"/>
    </xf>
    <xf numFmtId="0" fontId="4" fillId="0" borderId="0" xfId="0" applyFont="1" applyBorder="1" applyAlignment="1" applyProtection="1">
      <alignment horizontal="left" indent="1"/>
      <protection hidden="1"/>
    </xf>
    <xf numFmtId="0" fontId="7" fillId="0" borderId="0" xfId="0" applyFont="1" applyBorder="1" applyProtection="1">
      <protection hidden="1"/>
    </xf>
    <xf numFmtId="0" fontId="18" fillId="0" borderId="0" xfId="0" applyFont="1" applyBorder="1" applyProtection="1">
      <protection hidden="1"/>
    </xf>
    <xf numFmtId="0" fontId="19" fillId="0" borderId="0" xfId="0" applyFont="1" applyBorder="1" applyProtection="1">
      <protection hidden="1"/>
    </xf>
    <xf numFmtId="0" fontId="4" fillId="4" borderId="1" xfId="0" applyFont="1" applyFill="1" applyBorder="1" applyAlignment="1" applyProtection="1">
      <alignment vertical="center"/>
      <protection locked="0"/>
    </xf>
    <xf numFmtId="0" fontId="4" fillId="2" borderId="0" xfId="0" applyFont="1" applyFill="1" applyAlignment="1" applyProtection="1">
      <alignment vertical="center"/>
      <protection hidden="1"/>
    </xf>
    <xf numFmtId="0" fontId="4" fillId="0" borderId="19" xfId="0" applyFont="1" applyBorder="1" applyAlignment="1" applyProtection="1">
      <alignment horizontal="center" vertical="center"/>
      <protection locked="0"/>
    </xf>
    <xf numFmtId="0" fontId="4" fillId="2" borderId="0" xfId="0" applyFont="1" applyFill="1" applyBorder="1" applyAlignment="1" applyProtection="1">
      <alignment vertical="center"/>
      <protection hidden="1"/>
    </xf>
    <xf numFmtId="0" fontId="0" fillId="0" borderId="0" xfId="0" applyAlignment="1">
      <alignment vertical="center"/>
    </xf>
    <xf numFmtId="0" fontId="2" fillId="0" borderId="0" xfId="0" applyFont="1" applyAlignment="1" applyProtection="1">
      <alignment vertical="center"/>
      <protection hidden="1"/>
    </xf>
    <xf numFmtId="0" fontId="21" fillId="0" borderId="0" xfId="0" applyFont="1" applyAlignment="1">
      <alignment vertical="center"/>
    </xf>
    <xf numFmtId="0" fontId="16" fillId="0" borderId="20" xfId="0" applyFont="1" applyBorder="1" applyAlignment="1" applyProtection="1">
      <alignment vertical="center"/>
      <protection hidden="1"/>
    </xf>
    <xf numFmtId="0" fontId="4" fillId="0" borderId="20" xfId="0" applyFont="1" applyBorder="1" applyAlignment="1" applyProtection="1">
      <alignment vertical="center"/>
      <protection hidden="1"/>
    </xf>
    <xf numFmtId="0" fontId="11" fillId="0" borderId="20" xfId="0" applyFont="1" applyBorder="1" applyAlignment="1" applyProtection="1">
      <alignment horizontal="right" vertical="center"/>
      <protection hidden="1"/>
    </xf>
    <xf numFmtId="0" fontId="7" fillId="2" borderId="0" xfId="0" applyFont="1" applyFill="1" applyBorder="1" applyAlignment="1" applyProtection="1">
      <alignment vertical="center"/>
      <protection hidden="1"/>
    </xf>
    <xf numFmtId="0" fontId="16" fillId="0" borderId="0"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24" fillId="0" borderId="0" xfId="1" applyFont="1" applyBorder="1" applyAlignment="1" applyProtection="1">
      <alignment horizontal="left" vertical="center"/>
      <protection hidden="1"/>
    </xf>
    <xf numFmtId="0" fontId="24" fillId="0" borderId="20" xfId="1" applyFont="1" applyBorder="1" applyAlignment="1" applyProtection="1">
      <alignment vertical="center"/>
      <protection hidden="1"/>
    </xf>
    <xf numFmtId="0" fontId="25" fillId="0" borderId="0" xfId="0" applyFont="1" applyAlignment="1" applyProtection="1">
      <alignment vertical="center"/>
      <protection hidden="1"/>
    </xf>
    <xf numFmtId="0" fontId="14" fillId="9" borderId="0" xfId="0" applyFont="1" applyFill="1" applyBorder="1" applyAlignment="1" applyProtection="1">
      <alignment horizontal="center" vertical="center"/>
      <protection hidden="1"/>
    </xf>
    <xf numFmtId="0" fontId="14" fillId="9" borderId="0" xfId="0" applyFont="1" applyFill="1" applyBorder="1" applyAlignment="1" applyProtection="1">
      <alignment horizontal="left" vertical="center"/>
      <protection locked="0" hidden="1"/>
    </xf>
    <xf numFmtId="0" fontId="14" fillId="10" borderId="0" xfId="0" applyFont="1" applyFill="1" applyBorder="1" applyAlignment="1" applyProtection="1">
      <alignment horizontal="center" vertical="center"/>
      <protection hidden="1"/>
    </xf>
    <xf numFmtId="0" fontId="14" fillId="10" borderId="0" xfId="0" applyFont="1" applyFill="1" applyBorder="1" applyAlignment="1" applyProtection="1">
      <alignment horizontal="left" vertical="center"/>
      <protection locked="0" hidden="1"/>
    </xf>
    <xf numFmtId="0" fontId="14" fillId="11" borderId="0" xfId="0" applyFont="1" applyFill="1" applyBorder="1" applyAlignment="1" applyProtection="1">
      <alignment horizontal="center" vertical="center"/>
      <protection hidden="1"/>
    </xf>
    <xf numFmtId="0" fontId="14" fillId="11" borderId="0" xfId="0" applyFont="1" applyFill="1" applyBorder="1" applyAlignment="1" applyProtection="1">
      <alignment horizontal="left" vertical="center"/>
      <protection locked="0" hidden="1"/>
    </xf>
    <xf numFmtId="0" fontId="14" fillId="12" borderId="0" xfId="0" applyFont="1" applyFill="1" applyBorder="1" applyAlignment="1" applyProtection="1">
      <alignment horizontal="center" vertical="center"/>
      <protection hidden="1"/>
    </xf>
    <xf numFmtId="0" fontId="14" fillId="12" borderId="0" xfId="0" applyFont="1" applyFill="1" applyBorder="1" applyAlignment="1" applyProtection="1">
      <alignment horizontal="left" vertical="center"/>
      <protection locked="0" hidden="1"/>
    </xf>
    <xf numFmtId="0" fontId="14" fillId="13" borderId="0" xfId="0" applyFont="1" applyFill="1" applyBorder="1" applyAlignment="1" applyProtection="1">
      <alignment horizontal="center" vertical="center"/>
      <protection hidden="1"/>
    </xf>
    <xf numFmtId="0" fontId="14" fillId="13" borderId="0" xfId="0" applyFont="1" applyFill="1" applyBorder="1" applyAlignment="1" applyProtection="1">
      <alignment horizontal="left" vertical="center"/>
      <protection locked="0" hidden="1"/>
    </xf>
    <xf numFmtId="0" fontId="14" fillId="14" borderId="0" xfId="0" applyFont="1" applyFill="1" applyBorder="1" applyAlignment="1" applyProtection="1">
      <alignment horizontal="center" vertical="center"/>
      <protection hidden="1"/>
    </xf>
    <xf numFmtId="0" fontId="14" fillId="14" borderId="0" xfId="0" applyFont="1" applyFill="1" applyBorder="1" applyAlignment="1" applyProtection="1">
      <alignment horizontal="left" vertical="center"/>
      <protection locked="0" hidden="1"/>
    </xf>
    <xf numFmtId="0" fontId="14" fillId="5" borderId="0" xfId="0" applyFont="1" applyFill="1" applyBorder="1" applyAlignment="1" applyProtection="1">
      <alignment horizontal="center" vertical="center"/>
      <protection hidden="1"/>
    </xf>
    <xf numFmtId="0" fontId="14" fillId="5" borderId="0" xfId="0" applyFont="1" applyFill="1" applyBorder="1" applyAlignment="1" applyProtection="1">
      <alignment horizontal="left" vertical="center"/>
      <protection locked="0" hidden="1"/>
    </xf>
    <xf numFmtId="0" fontId="14" fillId="15" borderId="0" xfId="0" applyFont="1" applyFill="1" applyBorder="1" applyAlignment="1" applyProtection="1">
      <alignment horizontal="center" vertical="center"/>
      <protection hidden="1"/>
    </xf>
    <xf numFmtId="0" fontId="14" fillId="15" borderId="0" xfId="0" applyFont="1" applyFill="1" applyBorder="1" applyAlignment="1" applyProtection="1">
      <alignment horizontal="left" vertical="center"/>
      <protection locked="0" hidden="1"/>
    </xf>
    <xf numFmtId="16" fontId="4" fillId="0" borderId="2" xfId="0" applyNumberFormat="1" applyFont="1" applyFill="1" applyBorder="1" applyAlignment="1" applyProtection="1">
      <alignment horizontal="right" vertical="center" wrapText="1" shrinkToFit="1"/>
      <protection hidden="1"/>
    </xf>
    <xf numFmtId="165" fontId="4" fillId="0" borderId="2" xfId="0" applyNumberFormat="1" applyFont="1" applyFill="1" applyBorder="1" applyAlignment="1" applyProtection="1">
      <alignment horizontal="center" vertical="center"/>
      <protection hidden="1"/>
    </xf>
    <xf numFmtId="0" fontId="4" fillId="0" borderId="2" xfId="0" applyFont="1" applyFill="1" applyBorder="1" applyAlignment="1" applyProtection="1">
      <alignment horizontal="right" vertical="center"/>
      <protection hidden="1"/>
    </xf>
    <xf numFmtId="0" fontId="4" fillId="0" borderId="2" xfId="0" applyFont="1" applyFill="1" applyBorder="1" applyAlignment="1" applyProtection="1">
      <alignment horizontal="right"/>
      <protection hidden="1"/>
    </xf>
    <xf numFmtId="0" fontId="4" fillId="0" borderId="2" xfId="0" applyFont="1" applyFill="1" applyBorder="1" applyAlignment="1" applyProtection="1">
      <alignment vertical="center"/>
      <protection hidden="1"/>
    </xf>
    <xf numFmtId="0" fontId="4" fillId="0" borderId="13" xfId="0" applyFont="1" applyFill="1" applyBorder="1" applyProtection="1">
      <protection locked="0"/>
    </xf>
    <xf numFmtId="16" fontId="4" fillId="0" borderId="0" xfId="0" applyNumberFormat="1" applyFont="1" applyFill="1" applyBorder="1" applyAlignment="1" applyProtection="1">
      <alignment horizontal="right" vertical="center" wrapText="1" shrinkToFit="1"/>
      <protection hidden="1"/>
    </xf>
    <xf numFmtId="165" fontId="4" fillId="0" borderId="0" xfId="0" applyNumberFormat="1" applyFont="1" applyFill="1" applyBorder="1" applyAlignment="1" applyProtection="1">
      <alignment horizontal="center" vertical="center"/>
      <protection hidden="1"/>
    </xf>
    <xf numFmtId="0" fontId="4" fillId="0" borderId="0" xfId="0" applyFont="1" applyFill="1" applyBorder="1" applyAlignment="1" applyProtection="1">
      <alignment horizontal="right" vertical="center"/>
      <protection hidden="1"/>
    </xf>
    <xf numFmtId="0" fontId="4" fillId="0" borderId="0" xfId="0" applyFont="1" applyFill="1" applyBorder="1" applyAlignment="1" applyProtection="1">
      <alignment horizontal="right"/>
      <protection hidden="1"/>
    </xf>
    <xf numFmtId="0" fontId="4" fillId="0" borderId="4" xfId="0" applyFont="1" applyFill="1" applyBorder="1" applyProtection="1">
      <protection locked="0"/>
    </xf>
    <xf numFmtId="16" fontId="4" fillId="0" borderId="3" xfId="0" applyNumberFormat="1" applyFont="1" applyFill="1" applyBorder="1" applyAlignment="1" applyProtection="1">
      <alignment horizontal="right" vertical="center" wrapText="1" shrinkToFit="1"/>
      <protection hidden="1"/>
    </xf>
    <xf numFmtId="165" fontId="4" fillId="0" borderId="3"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horizontal="right" vertical="center"/>
      <protection hidden="1"/>
    </xf>
    <xf numFmtId="0" fontId="4" fillId="0" borderId="3" xfId="0" applyFont="1" applyFill="1" applyBorder="1" applyAlignment="1" applyProtection="1">
      <alignment horizontal="right"/>
      <protection hidden="1"/>
    </xf>
    <xf numFmtId="0" fontId="4" fillId="0" borderId="3" xfId="0" applyFont="1" applyFill="1" applyBorder="1" applyAlignment="1" applyProtection="1">
      <alignment vertical="center"/>
      <protection hidden="1"/>
    </xf>
    <xf numFmtId="0" fontId="4" fillId="0" borderId="16" xfId="0" applyFont="1" applyFill="1" applyBorder="1" applyProtection="1">
      <protection locked="0"/>
    </xf>
    <xf numFmtId="16" fontId="4" fillId="0" borderId="8" xfId="0" applyNumberFormat="1" applyFont="1" applyFill="1" applyBorder="1" applyAlignment="1" applyProtection="1">
      <alignment horizontal="right" vertical="center" wrapText="1" shrinkToFit="1"/>
      <protection hidden="1"/>
    </xf>
    <xf numFmtId="165" fontId="4" fillId="0" borderId="8" xfId="0" applyNumberFormat="1" applyFont="1" applyFill="1" applyBorder="1" applyAlignment="1" applyProtection="1">
      <alignment horizontal="center" vertical="center"/>
      <protection hidden="1"/>
    </xf>
    <xf numFmtId="0" fontId="4" fillId="0" borderId="8" xfId="0" applyFont="1" applyFill="1" applyBorder="1" applyAlignment="1" applyProtection="1">
      <alignment horizontal="right" vertical="center"/>
      <protection hidden="1"/>
    </xf>
    <xf numFmtId="0" fontId="4" fillId="0" borderId="8" xfId="0" applyFont="1" applyFill="1" applyBorder="1" applyAlignment="1" applyProtection="1">
      <alignment horizontal="right"/>
      <protection hidden="1"/>
    </xf>
    <xf numFmtId="0" fontId="4" fillId="0" borderId="9" xfId="0" applyFont="1" applyFill="1" applyBorder="1" applyProtection="1">
      <protection locked="0"/>
    </xf>
    <xf numFmtId="16" fontId="4" fillId="0" borderId="15" xfId="0" applyNumberFormat="1" applyFont="1" applyFill="1" applyBorder="1" applyAlignment="1" applyProtection="1">
      <alignment horizontal="right" vertical="center" wrapText="1" shrinkToFit="1"/>
      <protection hidden="1"/>
    </xf>
    <xf numFmtId="0" fontId="0" fillId="2" borderId="0" xfId="0" applyFill="1"/>
    <xf numFmtId="0" fontId="3" fillId="16" borderId="0" xfId="0" applyFont="1" applyFill="1" applyBorder="1"/>
    <xf numFmtId="0" fontId="1" fillId="16" borderId="0" xfId="2" applyFont="1" applyFill="1" applyAlignment="1">
      <alignment vertical="center"/>
    </xf>
    <xf numFmtId="0" fontId="27" fillId="16" borderId="0" xfId="0" applyFont="1" applyFill="1" applyBorder="1"/>
    <xf numFmtId="0" fontId="1" fillId="16" borderId="0" xfId="0" applyFont="1" applyFill="1" applyBorder="1" applyAlignment="1">
      <alignment vertical="center"/>
    </xf>
    <xf numFmtId="0" fontId="1" fillId="16" borderId="0" xfId="0" applyFont="1" applyFill="1" applyBorder="1" applyAlignment="1"/>
    <xf numFmtId="0" fontId="0" fillId="16" borderId="0" xfId="0" applyFill="1"/>
    <xf numFmtId="0" fontId="3" fillId="16" borderId="0" xfId="0" applyFont="1" applyFill="1" applyBorder="1" applyAlignment="1"/>
    <xf numFmtId="0" fontId="4" fillId="5" borderId="0" xfId="0" applyFont="1" applyFill="1" applyBorder="1" applyAlignment="1"/>
    <xf numFmtId="0" fontId="16" fillId="5" borderId="0" xfId="2" applyFont="1" applyFill="1" applyAlignment="1">
      <alignment vertical="center"/>
    </xf>
    <xf numFmtId="0" fontId="3" fillId="16" borderId="0" xfId="0" quotePrefix="1" applyFont="1" applyFill="1" applyBorder="1" applyAlignment="1">
      <alignment horizontal="left"/>
    </xf>
    <xf numFmtId="0" fontId="28" fillId="16" borderId="0" xfId="1" applyFont="1" applyFill="1" applyBorder="1" applyAlignment="1" applyProtection="1"/>
    <xf numFmtId="0" fontId="30" fillId="16" borderId="0" xfId="0" applyFont="1" applyFill="1" applyBorder="1" applyAlignment="1">
      <alignment horizontal="left"/>
    </xf>
    <xf numFmtId="0" fontId="4" fillId="0" borderId="0" xfId="0" applyFont="1" applyFill="1" applyBorder="1" applyProtection="1">
      <protection hidden="1"/>
    </xf>
    <xf numFmtId="0" fontId="9" fillId="0" borderId="0" xfId="0" applyFont="1" applyBorder="1"/>
    <xf numFmtId="0" fontId="9" fillId="0" borderId="0" xfId="0" applyFont="1"/>
    <xf numFmtId="0" fontId="9" fillId="0" borderId="21" xfId="0" applyFont="1" applyBorder="1"/>
    <xf numFmtId="0" fontId="9" fillId="0" borderId="22" xfId="0" applyFont="1" applyBorder="1"/>
    <xf numFmtId="0" fontId="9" fillId="0" borderId="23" xfId="0" applyFont="1" applyBorder="1"/>
    <xf numFmtId="0" fontId="9" fillId="0" borderId="24" xfId="0" applyFont="1" applyBorder="1"/>
    <xf numFmtId="0" fontId="9" fillId="0" borderId="25" xfId="0" applyFont="1" applyBorder="1"/>
    <xf numFmtId="0" fontId="9" fillId="4" borderId="24" xfId="0" applyFont="1" applyFill="1" applyBorder="1"/>
    <xf numFmtId="0" fontId="9" fillId="4" borderId="25" xfId="0" applyFont="1" applyFill="1" applyBorder="1"/>
    <xf numFmtId="0" fontId="9" fillId="4" borderId="26" xfId="0" applyFont="1" applyFill="1" applyBorder="1"/>
    <xf numFmtId="0" fontId="9" fillId="4" borderId="28" xfId="0" applyFont="1" applyFill="1" applyBorder="1"/>
    <xf numFmtId="0" fontId="3" fillId="0" borderId="0" xfId="0" applyFont="1" applyAlignme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Border="1" applyAlignment="1" applyProtection="1">
      <alignment horizontal="left" vertical="center" indent="1"/>
      <protection hidden="1"/>
    </xf>
    <xf numFmtId="0" fontId="3" fillId="0" borderId="0" xfId="0" applyNumberFormat="1" applyFont="1" applyAlignment="1" applyProtection="1">
      <protection hidden="1"/>
    </xf>
    <xf numFmtId="16" fontId="3" fillId="0" borderId="0" xfId="0" applyNumberFormat="1" applyFont="1" applyBorder="1" applyAlignment="1" applyProtection="1">
      <alignment vertical="center"/>
      <protection hidden="1"/>
    </xf>
    <xf numFmtId="166" fontId="3" fillId="0" borderId="0" xfId="0" applyNumberFormat="1" applyFont="1" applyBorder="1" applyAlignment="1" applyProtection="1">
      <alignment horizontal="right" vertical="center"/>
      <protection hidden="1"/>
    </xf>
    <xf numFmtId="166" fontId="3" fillId="0" borderId="0" xfId="0" applyNumberFormat="1" applyFont="1" applyAlignment="1" applyProtection="1">
      <protection hidden="1"/>
    </xf>
    <xf numFmtId="166" fontId="3" fillId="0" borderId="0" xfId="0" applyNumberFormat="1" applyFont="1" applyAlignment="1" applyProtection="1">
      <alignment horizontal="right"/>
      <protection hidden="1"/>
    </xf>
    <xf numFmtId="0" fontId="1" fillId="8" borderId="0" xfId="1" applyFont="1" applyFill="1" applyAlignment="1" applyProtection="1">
      <alignment horizontal="center" vertical="center" wrapText="1"/>
      <protection hidden="1"/>
    </xf>
    <xf numFmtId="0" fontId="1" fillId="0" borderId="0" xfId="1" applyFont="1" applyFill="1" applyAlignment="1" applyProtection="1">
      <alignment vertical="center"/>
      <protection hidden="1"/>
    </xf>
    <xf numFmtId="0" fontId="1" fillId="0" borderId="0" xfId="0" applyFont="1" applyFill="1" applyBorder="1" applyAlignment="1" applyProtection="1">
      <alignment horizontal="center"/>
      <protection hidden="1"/>
    </xf>
    <xf numFmtId="0" fontId="1" fillId="0" borderId="0" xfId="0" applyFont="1" applyBorder="1" applyAlignment="1" applyProtection="1">
      <alignment vertical="center" textRotation="255"/>
      <protection hidden="1"/>
    </xf>
    <xf numFmtId="0" fontId="3" fillId="0" borderId="0" xfId="0" applyFont="1" applyBorder="1" applyAlignment="1" applyProtection="1">
      <alignment horizontal="center" vertical="center" textRotation="255"/>
      <protection hidden="1"/>
    </xf>
    <xf numFmtId="0" fontId="3" fillId="0" borderId="0" xfId="0" applyFont="1" applyAlignment="1" applyProtection="1">
      <alignment horizontal="center"/>
      <protection hidden="1"/>
    </xf>
    <xf numFmtId="0" fontId="3" fillId="0" borderId="0" xfId="0" applyFont="1" applyAlignment="1" applyProtection="1">
      <alignment wrapText="1"/>
      <protection hidden="1"/>
    </xf>
    <xf numFmtId="0" fontId="3" fillId="0" borderId="0" xfId="0" applyFont="1" applyAlignment="1" applyProtection="1">
      <alignment horizontal="center" wrapText="1"/>
      <protection hidden="1"/>
    </xf>
    <xf numFmtId="0" fontId="3" fillId="9"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3" fillId="0" borderId="1" xfId="0" applyFont="1" applyBorder="1" applyProtection="1">
      <protection hidden="1"/>
    </xf>
    <xf numFmtId="0" fontId="3" fillId="0" borderId="1" xfId="0" applyFont="1" applyBorder="1" applyAlignment="1" applyProtection="1">
      <alignment vertical="center"/>
      <protection hidden="1"/>
    </xf>
    <xf numFmtId="0" fontId="1" fillId="0" borderId="0" xfId="0" applyFont="1" applyBorder="1" applyProtection="1">
      <protection hidden="1"/>
    </xf>
    <xf numFmtId="0" fontId="1" fillId="2" borderId="0" xfId="0" applyFont="1" applyFill="1" applyAlignment="1" applyProtection="1">
      <alignment horizontal="left" vertical="center" indent="1"/>
      <protection locked="0"/>
    </xf>
    <xf numFmtId="0" fontId="4" fillId="4"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vertical="center"/>
      <protection locked="0"/>
    </xf>
    <xf numFmtId="0" fontId="1" fillId="2" borderId="1" xfId="0" applyFont="1" applyFill="1" applyBorder="1" applyAlignment="1" applyProtection="1">
      <alignment horizontal="left" vertical="center" indent="1"/>
      <protection locked="0"/>
    </xf>
    <xf numFmtId="0" fontId="1" fillId="3" borderId="1" xfId="0" applyFont="1" applyFill="1" applyBorder="1" applyAlignment="1" applyProtection="1">
      <alignment horizontal="left" vertical="center" indent="1"/>
      <protection locked="0"/>
    </xf>
    <xf numFmtId="0" fontId="1" fillId="3" borderId="1" xfId="0" applyFont="1" applyFill="1" applyBorder="1" applyAlignment="1" applyProtection="1">
      <alignment vertical="center"/>
      <protection locked="0"/>
    </xf>
    <xf numFmtId="0" fontId="5" fillId="0" borderId="0" xfId="0" applyFont="1" applyAlignment="1" applyProtection="1">
      <alignment horizontal="center" vertical="center" wrapText="1"/>
      <protection locked="0"/>
    </xf>
    <xf numFmtId="0" fontId="4" fillId="0" borderId="1" xfId="0" applyFont="1" applyBorder="1" applyAlignment="1" applyProtection="1">
      <alignment horizontal="left" vertical="center" indent="1"/>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left" vertical="center"/>
      <protection hidden="1"/>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35"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4" fillId="5" borderId="37" xfId="0" applyFont="1" applyFill="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4" fillId="5" borderId="40"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6" borderId="31" xfId="0" applyFont="1" applyFill="1" applyBorder="1" applyAlignment="1" applyProtection="1">
      <alignment horizontal="center" vertical="center"/>
      <protection locked="0"/>
    </xf>
    <xf numFmtId="0" fontId="4" fillId="6" borderId="32"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6" borderId="29" xfId="0" applyFont="1" applyFill="1" applyBorder="1" applyAlignment="1" applyProtection="1">
      <alignment horizontal="center" vertical="center"/>
      <protection locked="0"/>
    </xf>
    <xf numFmtId="0" fontId="4" fillId="6" borderId="30"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6" borderId="45" xfId="0" applyFont="1" applyFill="1" applyBorder="1" applyAlignment="1" applyProtection="1">
      <alignment horizontal="center" vertical="center"/>
      <protection locked="0"/>
    </xf>
    <xf numFmtId="0" fontId="4" fillId="6" borderId="46"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hidden="1"/>
    </xf>
    <xf numFmtId="0" fontId="15" fillId="2" borderId="0" xfId="0" applyFont="1" applyFill="1" applyBorder="1" applyAlignment="1" applyProtection="1">
      <alignment horizontal="left" vertical="center" indent="2"/>
      <protection hidden="1"/>
    </xf>
    <xf numFmtId="0" fontId="22" fillId="6" borderId="0" xfId="0" applyFont="1" applyFill="1" applyBorder="1" applyAlignment="1" applyProtection="1">
      <alignment horizontal="left" vertical="center" indent="2"/>
      <protection hidden="1"/>
    </xf>
    <xf numFmtId="0" fontId="13" fillId="2" borderId="0" xfId="0" applyFont="1" applyFill="1" applyBorder="1" applyAlignment="1" applyProtection="1">
      <alignment horizontal="left" vertical="center" indent="1"/>
      <protection hidden="1"/>
    </xf>
    <xf numFmtId="0" fontId="1" fillId="7" borderId="8"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wrapText="1" indent="2"/>
      <protection hidden="1"/>
    </xf>
    <xf numFmtId="0" fontId="23" fillId="4" borderId="0" xfId="0" applyFont="1" applyFill="1" applyBorder="1" applyAlignment="1" applyProtection="1">
      <alignment horizontal="left" vertical="center" wrapText="1" indent="2"/>
      <protection hidden="1"/>
    </xf>
    <xf numFmtId="0" fontId="3" fillId="18" borderId="0" xfId="0" applyFont="1" applyFill="1" applyBorder="1" applyAlignment="1" applyProtection="1">
      <alignment horizontal="center" vertical="center" wrapText="1"/>
      <protection hidden="1"/>
    </xf>
    <xf numFmtId="0" fontId="34" fillId="19" borderId="0" xfId="1"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1" fillId="3" borderId="0" xfId="0" applyFont="1" applyFill="1" applyBorder="1" applyAlignment="1" applyProtection="1">
      <alignment horizontal="center" vertical="center"/>
      <protection hidden="1"/>
    </xf>
    <xf numFmtId="0" fontId="29" fillId="17" borderId="0" xfId="0" applyFont="1" applyFill="1" applyBorder="1" applyAlignment="1">
      <alignment horizontal="center" vertical="center" wrapText="1"/>
    </xf>
    <xf numFmtId="0" fontId="32" fillId="2" borderId="24"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25"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27" xfId="0" applyFont="1" applyFill="1" applyBorder="1" applyAlignment="1">
      <alignment horizontal="center" vertical="center"/>
    </xf>
    <xf numFmtId="0" fontId="24" fillId="0" borderId="0" xfId="1" applyFont="1" applyAlignment="1" applyProtection="1">
      <alignment horizontal="left"/>
    </xf>
    <xf numFmtId="0" fontId="1" fillId="17" borderId="0" xfId="0" applyFont="1" applyFill="1" applyBorder="1" applyAlignment="1">
      <alignment horizontal="center" vertical="center" wrapText="1"/>
    </xf>
    <xf numFmtId="0" fontId="4" fillId="5" borderId="0" xfId="0" applyFont="1" applyFill="1" applyBorder="1" applyAlignment="1">
      <alignment horizontal="left" wrapText="1"/>
    </xf>
  </cellXfs>
  <cellStyles count="3">
    <cellStyle name="Hyperlink" xfId="1" builtinId="8"/>
    <cellStyle name="Normal" xfId="0" builtinId="0"/>
    <cellStyle name="Normal 2" xfId="2"/>
  </cellStyles>
  <dxfs count="43">
    <dxf>
      <font>
        <color theme="0"/>
      </font>
    </dxf>
    <dxf>
      <font>
        <color theme="0"/>
      </font>
    </dxf>
    <dxf>
      <font>
        <color theme="0"/>
      </font>
      <fill>
        <patternFill>
          <bgColor theme="0"/>
        </patternFill>
      </fill>
      <border>
        <left/>
        <right/>
        <top/>
        <bottom/>
        <vertical/>
        <horizontal/>
      </border>
    </dxf>
    <dxf>
      <font>
        <color theme="0"/>
      </font>
      <fill>
        <patternFill>
          <bgColor theme="0"/>
        </patternFill>
      </fill>
    </dxf>
    <dxf>
      <font>
        <color rgb="FFFF0000"/>
      </font>
      <fill>
        <patternFill>
          <bgColor theme="9" tint="0.79998168889431442"/>
        </patternFill>
      </fill>
    </dxf>
    <dxf>
      <font>
        <color rgb="FFFF0000"/>
      </font>
      <fill>
        <patternFill>
          <bgColor theme="9" tint="0.79998168889431442"/>
        </patternFill>
      </fill>
    </dxf>
    <dxf>
      <font>
        <b/>
        <i val="0"/>
        <color rgb="FFC00000"/>
      </font>
    </dxf>
    <dxf>
      <font>
        <b val="0"/>
        <i/>
        <color theme="1" tint="0.499984740745262"/>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i val="0"/>
        <color rgb="FFC00000"/>
      </font>
    </dxf>
    <dxf>
      <fill>
        <patternFill>
          <bgColor theme="0" tint="-0.14996795556505021"/>
        </patternFill>
      </fill>
    </dxf>
    <dxf>
      <font>
        <b/>
        <i val="0"/>
      </font>
    </dxf>
    <dxf>
      <font>
        <b val="0"/>
        <i/>
        <color theme="1" tint="0.499984740745262"/>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b/>
        <i val="0"/>
      </font>
    </dxf>
    <dxf>
      <font>
        <b val="0"/>
        <i/>
        <color theme="1" tint="0.499984740745262"/>
      </font>
    </dxf>
    <dxf>
      <font>
        <color rgb="FFFF0000"/>
      </font>
      <fill>
        <patternFill>
          <bgColor theme="9" tint="0.79998168889431442"/>
        </patternFill>
      </fill>
    </dxf>
    <dxf>
      <font>
        <b/>
        <i val="0"/>
        <color rgb="FFC00000"/>
      </font>
    </dxf>
    <dxf>
      <font>
        <b val="0"/>
        <i/>
        <color theme="1" tint="0.499984740745262"/>
      </font>
    </dxf>
    <dxf>
      <font>
        <b val="0"/>
        <i/>
        <color theme="1" tint="0.499984740745262"/>
      </font>
    </dxf>
    <dxf>
      <font>
        <b/>
        <i val="0"/>
        <color rgb="FFC00000"/>
      </font>
    </dxf>
    <dxf>
      <font>
        <b/>
        <i val="0"/>
        <color rgb="FFC00000"/>
      </font>
    </dxf>
    <dxf>
      <font>
        <b val="0"/>
        <i/>
        <color theme="1" tint="0.499984740745262"/>
      </font>
    </dxf>
    <dxf>
      <font>
        <b val="0"/>
        <i/>
        <color theme="1" tint="0.499984740745262"/>
      </font>
    </dxf>
    <dxf>
      <font>
        <b/>
        <i val="0"/>
        <color rgb="FFC00000"/>
      </font>
    </dxf>
    <dxf>
      <fill>
        <patternFill>
          <bgColor theme="0" tint="-0.14996795556505021"/>
        </patternFill>
      </fill>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jpe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_rels/drawing2.xml.rels><?xml version="1.0" encoding="UTF-8" standalone="yes"?>
<Relationships xmlns="http://schemas.openxmlformats.org/package/2006/relationships"><Relationship Id="rId8" Type="http://schemas.openxmlformats.org/officeDocument/2006/relationships/image" Target="../media/image37.jpeg"/><Relationship Id="rId13" Type="http://schemas.openxmlformats.org/officeDocument/2006/relationships/image" Target="../media/image7.png"/><Relationship Id="rId18" Type="http://schemas.openxmlformats.org/officeDocument/2006/relationships/image" Target="../media/image23.png"/><Relationship Id="rId26" Type="http://schemas.openxmlformats.org/officeDocument/2006/relationships/image" Target="../media/image27.pn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image" Target="../media/image6.png"/><Relationship Id="rId12" Type="http://schemas.openxmlformats.org/officeDocument/2006/relationships/image" Target="../media/image45.png"/><Relationship Id="rId17" Type="http://schemas.openxmlformats.org/officeDocument/2006/relationships/image" Target="../media/image22.png"/><Relationship Id="rId25" Type="http://schemas.openxmlformats.org/officeDocument/2006/relationships/image" Target="../media/image26.png"/><Relationship Id="rId2" Type="http://schemas.openxmlformats.org/officeDocument/2006/relationships/image" Target="../media/image28.png"/><Relationship Id="rId16" Type="http://schemas.openxmlformats.org/officeDocument/2006/relationships/image" Target="../media/image21.png"/><Relationship Id="rId20" Type="http://schemas.openxmlformats.org/officeDocument/2006/relationships/image" Target="../media/image24.png"/><Relationship Id="rId29" Type="http://schemas.openxmlformats.org/officeDocument/2006/relationships/image" Target="../media/image15.png"/><Relationship Id="rId1" Type="http://schemas.openxmlformats.org/officeDocument/2006/relationships/image" Target="../media/image36.png"/><Relationship Id="rId6" Type="http://schemas.openxmlformats.org/officeDocument/2006/relationships/image" Target="../media/image5.png"/><Relationship Id="rId11" Type="http://schemas.openxmlformats.org/officeDocument/2006/relationships/image" Target="../media/image20.png"/><Relationship Id="rId24" Type="http://schemas.openxmlformats.org/officeDocument/2006/relationships/image" Target="../media/image25.png"/><Relationship Id="rId32" Type="http://schemas.openxmlformats.org/officeDocument/2006/relationships/image" Target="../media/image43.png"/><Relationship Id="rId5" Type="http://schemas.openxmlformats.org/officeDocument/2006/relationships/image" Target="../media/image4.png"/><Relationship Id="rId15" Type="http://schemas.openxmlformats.org/officeDocument/2006/relationships/image" Target="../media/image32.png"/><Relationship Id="rId23" Type="http://schemas.openxmlformats.org/officeDocument/2006/relationships/image" Target="../media/image11.png"/><Relationship Id="rId28" Type="http://schemas.openxmlformats.org/officeDocument/2006/relationships/image" Target="../media/image14.png"/><Relationship Id="rId10" Type="http://schemas.openxmlformats.org/officeDocument/2006/relationships/image" Target="../media/image29.png"/><Relationship Id="rId19" Type="http://schemas.openxmlformats.org/officeDocument/2006/relationships/image" Target="../media/image8.png"/><Relationship Id="rId31" Type="http://schemas.openxmlformats.org/officeDocument/2006/relationships/image" Target="../media/image33.png"/><Relationship Id="rId4" Type="http://schemas.openxmlformats.org/officeDocument/2006/relationships/image" Target="../media/image3.png"/><Relationship Id="rId9" Type="http://schemas.openxmlformats.org/officeDocument/2006/relationships/image" Target="../media/image19.png"/><Relationship Id="rId14" Type="http://schemas.openxmlformats.org/officeDocument/2006/relationships/image" Target="../media/image31.png"/><Relationship Id="rId22" Type="http://schemas.openxmlformats.org/officeDocument/2006/relationships/image" Target="../media/image10.png"/><Relationship Id="rId27" Type="http://schemas.openxmlformats.org/officeDocument/2006/relationships/image" Target="../media/image13.png"/><Relationship Id="rId30"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hyperlink" Target="https://www.fatfreecartpro.com/ecom/gb.php?&amp;c=single&amp;cl=353533&amp;i=1745258"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1299112</xdr:colOff>
          <xdr:row>53</xdr:row>
          <xdr:rowOff>1865</xdr:rowOff>
        </xdr:from>
        <xdr:to>
          <xdr:col>6</xdr:col>
          <xdr:colOff>234754</xdr:colOff>
          <xdr:row>69</xdr:row>
          <xdr:rowOff>5513</xdr:rowOff>
        </xdr:to>
        <xdr:grpSp>
          <xdr:nvGrpSpPr>
            <xdr:cNvPr id="2" name="Group 1"/>
            <xdr:cNvGrpSpPr/>
          </xdr:nvGrpSpPr>
          <xdr:grpSpPr>
            <a:xfrm>
              <a:off x="3000912" y="9914215"/>
              <a:ext cx="237392" cy="2950048"/>
              <a:chOff x="2986524" y="9989038"/>
              <a:chExt cx="239834" cy="2974383"/>
            </a:xfrm>
          </xdr:grpSpPr>
          <xdr:pic>
            <xdr:nvPicPr>
              <xdr:cNvPr id="103" name="Picture 102"/>
              <xdr:cNvPicPr>
                <a:picLocks noChangeAspect="1" noChangeArrowheads="1"/>
                <a:extLst>
                  <a:ext uri="{84589F7E-364E-4C9E-8A38-B11213B215E9}">
                    <a14:cameraTool cellRange="Flag1" spid="_x0000_s7896"/>
                  </a:ext>
                </a:extLst>
              </xdr:cNvPicPr>
            </xdr:nvPicPr>
            <xdr:blipFill>
              <a:blip xmlns:r="http://schemas.openxmlformats.org/officeDocument/2006/relationships" r:embed="rId1"/>
              <a:srcRect/>
              <a:stretch>
                <a:fillRect/>
              </a:stretch>
            </xdr:blipFill>
            <xdr:spPr bwMode="auto">
              <a:xfrm>
                <a:off x="2986524" y="9989038"/>
                <a:ext cx="237392" cy="191966"/>
              </a:xfrm>
              <a:prstGeom prst="rect">
                <a:avLst/>
              </a:prstGeom>
              <a:noFill/>
              <a:extLst>
                <a:ext uri="{909E8E84-426E-40DD-AFC4-6F175D3DCCD1}">
                  <a14:hiddenFill>
                    <a:solidFill>
                      <a:srgbClr val="FFFFFF"/>
                    </a:solidFill>
                  </a14:hiddenFill>
                </a:ext>
              </a:extLst>
            </xdr:spPr>
          </xdr:pic>
          <xdr:pic>
            <xdr:nvPicPr>
              <xdr:cNvPr id="104" name="Picture 103"/>
              <xdr:cNvPicPr>
                <a:picLocks noChangeAspect="1" noChangeArrowheads="1"/>
                <a:extLst>
                  <a:ext uri="{84589F7E-364E-4C9E-8A38-B11213B215E9}">
                    <a14:cameraTool cellRange="Flag2" spid="_x0000_s7897"/>
                  </a:ext>
                </a:extLst>
              </xdr:cNvPicPr>
            </xdr:nvPicPr>
            <xdr:blipFill>
              <a:blip xmlns:r="http://schemas.openxmlformats.org/officeDocument/2006/relationships" r:embed="rId1"/>
              <a:srcRect/>
              <a:stretch>
                <a:fillRect/>
              </a:stretch>
            </xdr:blipFill>
            <xdr:spPr bwMode="auto">
              <a:xfrm>
                <a:off x="2986524" y="10174459"/>
                <a:ext cx="237392" cy="191966"/>
              </a:xfrm>
              <a:prstGeom prst="rect">
                <a:avLst/>
              </a:prstGeom>
              <a:noFill/>
              <a:extLst>
                <a:ext uri="{909E8E84-426E-40DD-AFC4-6F175D3DCCD1}">
                  <a14:hiddenFill>
                    <a:solidFill>
                      <a:srgbClr val="FFFFFF"/>
                    </a:solidFill>
                  </a14:hiddenFill>
                </a:ext>
              </a:extLst>
            </xdr:spPr>
          </xdr:pic>
          <xdr:pic>
            <xdr:nvPicPr>
              <xdr:cNvPr id="105" name="Picture 104"/>
              <xdr:cNvPicPr>
                <a:picLocks noChangeAspect="1" noChangeArrowheads="1"/>
                <a:extLst>
                  <a:ext uri="{84589F7E-364E-4C9E-8A38-B11213B215E9}">
                    <a14:cameraTool cellRange="Flag3" spid="_x0000_s7898"/>
                  </a:ext>
                </a:extLst>
              </xdr:cNvPicPr>
            </xdr:nvPicPr>
            <xdr:blipFill>
              <a:blip xmlns:r="http://schemas.openxmlformats.org/officeDocument/2006/relationships" r:embed="rId1"/>
              <a:srcRect/>
              <a:stretch>
                <a:fillRect/>
              </a:stretch>
            </xdr:blipFill>
            <xdr:spPr bwMode="auto">
              <a:xfrm>
                <a:off x="2986524" y="10359880"/>
                <a:ext cx="237393" cy="191965"/>
              </a:xfrm>
              <a:prstGeom prst="rect">
                <a:avLst/>
              </a:prstGeom>
              <a:noFill/>
              <a:extLst>
                <a:ext uri="{909E8E84-426E-40DD-AFC4-6F175D3DCCD1}">
                  <a14:hiddenFill>
                    <a:solidFill>
                      <a:srgbClr val="FFFFFF"/>
                    </a:solidFill>
                  </a14:hiddenFill>
                </a:ext>
              </a:extLst>
            </xdr:spPr>
          </xdr:pic>
          <xdr:pic>
            <xdr:nvPicPr>
              <xdr:cNvPr id="106" name="Picture 105"/>
              <xdr:cNvPicPr>
                <a:picLocks noChangeAspect="1" noChangeArrowheads="1"/>
                <a:extLst>
                  <a:ext uri="{84589F7E-364E-4C9E-8A38-B11213B215E9}">
                    <a14:cameraTool cellRange="Flag4" spid="_x0000_s7899"/>
                  </a:ext>
                </a:extLst>
              </xdr:cNvPicPr>
            </xdr:nvPicPr>
            <xdr:blipFill>
              <a:blip xmlns:r="http://schemas.openxmlformats.org/officeDocument/2006/relationships" r:embed="rId1"/>
              <a:srcRect/>
              <a:stretch>
                <a:fillRect/>
              </a:stretch>
            </xdr:blipFill>
            <xdr:spPr bwMode="auto">
              <a:xfrm>
                <a:off x="2986524" y="10545300"/>
                <a:ext cx="237392" cy="191966"/>
              </a:xfrm>
              <a:prstGeom prst="rect">
                <a:avLst/>
              </a:prstGeom>
              <a:noFill/>
              <a:extLst>
                <a:ext uri="{909E8E84-426E-40DD-AFC4-6F175D3DCCD1}">
                  <a14:hiddenFill>
                    <a:solidFill>
                      <a:srgbClr val="FFFFFF"/>
                    </a:solidFill>
                  </a14:hiddenFill>
                </a:ext>
              </a:extLst>
            </xdr:spPr>
          </xdr:pic>
          <xdr:pic>
            <xdr:nvPicPr>
              <xdr:cNvPr id="107" name="Picture 106"/>
              <xdr:cNvPicPr>
                <a:picLocks noChangeAspect="1" noChangeArrowheads="1"/>
                <a:extLst>
                  <a:ext uri="{84589F7E-364E-4C9E-8A38-B11213B215E9}">
                    <a14:cameraTool cellRange="Flag5" spid="_x0000_s7900"/>
                  </a:ext>
                </a:extLst>
              </xdr:cNvPicPr>
            </xdr:nvPicPr>
            <xdr:blipFill>
              <a:blip xmlns:r="http://schemas.openxmlformats.org/officeDocument/2006/relationships" r:embed="rId1"/>
              <a:srcRect/>
              <a:stretch>
                <a:fillRect/>
              </a:stretch>
            </xdr:blipFill>
            <xdr:spPr bwMode="auto">
              <a:xfrm>
                <a:off x="2986524" y="10730721"/>
                <a:ext cx="237392" cy="191965"/>
              </a:xfrm>
              <a:prstGeom prst="rect">
                <a:avLst/>
              </a:prstGeom>
              <a:noFill/>
              <a:extLst>
                <a:ext uri="{909E8E84-426E-40DD-AFC4-6F175D3DCCD1}">
                  <a14:hiddenFill>
                    <a:solidFill>
                      <a:srgbClr val="FFFFFF"/>
                    </a:solidFill>
                  </a14:hiddenFill>
                </a:ext>
              </a:extLst>
            </xdr:spPr>
          </xdr:pic>
          <xdr:pic>
            <xdr:nvPicPr>
              <xdr:cNvPr id="108" name="Picture 107"/>
              <xdr:cNvPicPr>
                <a:picLocks noChangeAspect="1" noChangeArrowheads="1"/>
                <a:extLst>
                  <a:ext uri="{84589F7E-364E-4C9E-8A38-B11213B215E9}">
                    <a14:cameraTool cellRange="Flag6" spid="_x0000_s7901"/>
                  </a:ext>
                </a:extLst>
              </xdr:cNvPicPr>
            </xdr:nvPicPr>
            <xdr:blipFill>
              <a:blip xmlns:r="http://schemas.openxmlformats.org/officeDocument/2006/relationships" r:embed="rId1"/>
              <a:srcRect/>
              <a:stretch>
                <a:fillRect/>
              </a:stretch>
            </xdr:blipFill>
            <xdr:spPr bwMode="auto">
              <a:xfrm>
                <a:off x="2986524" y="10916141"/>
                <a:ext cx="237392" cy="191965"/>
              </a:xfrm>
              <a:prstGeom prst="rect">
                <a:avLst/>
              </a:prstGeom>
              <a:noFill/>
              <a:extLst>
                <a:ext uri="{909E8E84-426E-40DD-AFC4-6F175D3DCCD1}">
                  <a14:hiddenFill>
                    <a:solidFill>
                      <a:srgbClr val="FFFFFF"/>
                    </a:solidFill>
                  </a14:hiddenFill>
                </a:ext>
              </a:extLst>
            </xdr:spPr>
          </xdr:pic>
          <xdr:pic>
            <xdr:nvPicPr>
              <xdr:cNvPr id="109" name="Picture 108"/>
              <xdr:cNvPicPr>
                <a:picLocks noChangeAspect="1" noChangeArrowheads="1"/>
                <a:extLst>
                  <a:ext uri="{84589F7E-364E-4C9E-8A38-B11213B215E9}">
                    <a14:cameraTool cellRange="Flag7" spid="_x0000_s7902"/>
                  </a:ext>
                </a:extLst>
              </xdr:cNvPicPr>
            </xdr:nvPicPr>
            <xdr:blipFill>
              <a:blip xmlns:r="http://schemas.openxmlformats.org/officeDocument/2006/relationships" r:embed="rId1"/>
              <a:srcRect/>
              <a:stretch>
                <a:fillRect/>
              </a:stretch>
            </xdr:blipFill>
            <xdr:spPr bwMode="auto">
              <a:xfrm>
                <a:off x="2986524" y="11101561"/>
                <a:ext cx="234950" cy="193431"/>
              </a:xfrm>
              <a:prstGeom prst="rect">
                <a:avLst/>
              </a:prstGeom>
              <a:noFill/>
              <a:extLst>
                <a:ext uri="{909E8E84-426E-40DD-AFC4-6F175D3DCCD1}">
                  <a14:hiddenFill>
                    <a:solidFill>
                      <a:srgbClr val="FFFFFF"/>
                    </a:solidFill>
                  </a14:hiddenFill>
                </a:ext>
              </a:extLst>
            </xdr:spPr>
          </xdr:pic>
          <xdr:pic>
            <xdr:nvPicPr>
              <xdr:cNvPr id="110" name="Picture 109"/>
              <xdr:cNvPicPr>
                <a:picLocks noChangeAspect="1" noChangeArrowheads="1"/>
                <a:extLst>
                  <a:ext uri="{84589F7E-364E-4C9E-8A38-B11213B215E9}">
                    <a14:cameraTool cellRange="Flag8" spid="_x0000_s7903"/>
                  </a:ext>
                </a:extLst>
              </xdr:cNvPicPr>
            </xdr:nvPicPr>
            <xdr:blipFill>
              <a:blip xmlns:r="http://schemas.openxmlformats.org/officeDocument/2006/relationships" r:embed="rId1"/>
              <a:srcRect/>
              <a:stretch>
                <a:fillRect/>
              </a:stretch>
            </xdr:blipFill>
            <xdr:spPr bwMode="auto">
              <a:xfrm>
                <a:off x="2986524" y="11288447"/>
                <a:ext cx="234950" cy="191966"/>
              </a:xfrm>
              <a:prstGeom prst="rect">
                <a:avLst/>
              </a:prstGeom>
              <a:noFill/>
              <a:extLst>
                <a:ext uri="{909E8E84-426E-40DD-AFC4-6F175D3DCCD1}">
                  <a14:hiddenFill>
                    <a:solidFill>
                      <a:srgbClr val="FFFFFF"/>
                    </a:solidFill>
                  </a14:hiddenFill>
                </a:ext>
              </a:extLst>
            </xdr:spPr>
          </xdr:pic>
          <xdr:pic>
            <xdr:nvPicPr>
              <xdr:cNvPr id="111" name="Picture 110"/>
              <xdr:cNvPicPr>
                <a:picLocks noChangeAspect="1" noChangeArrowheads="1"/>
                <a:extLst>
                  <a:ext uri="{84589F7E-364E-4C9E-8A38-B11213B215E9}">
                    <a14:cameraTool cellRange="Flag9" spid="_x0000_s7904"/>
                  </a:ext>
                </a:extLst>
              </xdr:cNvPicPr>
            </xdr:nvPicPr>
            <xdr:blipFill>
              <a:blip xmlns:r="http://schemas.openxmlformats.org/officeDocument/2006/relationships" r:embed="rId1"/>
              <a:srcRect/>
              <a:stretch>
                <a:fillRect/>
              </a:stretch>
            </xdr:blipFill>
            <xdr:spPr bwMode="auto">
              <a:xfrm>
                <a:off x="2986524" y="11473868"/>
                <a:ext cx="239834" cy="191964"/>
              </a:xfrm>
              <a:prstGeom prst="rect">
                <a:avLst/>
              </a:prstGeom>
              <a:noFill/>
              <a:extLst>
                <a:ext uri="{909E8E84-426E-40DD-AFC4-6F175D3DCCD1}">
                  <a14:hiddenFill>
                    <a:solidFill>
                      <a:srgbClr val="FFFFFF"/>
                    </a:solidFill>
                  </a14:hiddenFill>
                </a:ext>
              </a:extLst>
            </xdr:spPr>
          </xdr:pic>
          <xdr:pic>
            <xdr:nvPicPr>
              <xdr:cNvPr id="112" name="Picture 111"/>
              <xdr:cNvPicPr>
                <a:picLocks noChangeAspect="1" noChangeArrowheads="1"/>
                <a:extLst>
                  <a:ext uri="{84589F7E-364E-4C9E-8A38-B11213B215E9}">
                    <a14:cameraTool cellRange="Flag10" spid="_x0000_s7905"/>
                  </a:ext>
                </a:extLst>
              </xdr:cNvPicPr>
            </xdr:nvPicPr>
            <xdr:blipFill>
              <a:blip xmlns:r="http://schemas.openxmlformats.org/officeDocument/2006/relationships" r:embed="rId1"/>
              <a:srcRect/>
              <a:stretch>
                <a:fillRect/>
              </a:stretch>
            </xdr:blipFill>
            <xdr:spPr bwMode="auto">
              <a:xfrm>
                <a:off x="2986524" y="11659287"/>
                <a:ext cx="237392" cy="191966"/>
              </a:xfrm>
              <a:prstGeom prst="rect">
                <a:avLst/>
              </a:prstGeom>
              <a:noFill/>
              <a:extLst>
                <a:ext uri="{909E8E84-426E-40DD-AFC4-6F175D3DCCD1}">
                  <a14:hiddenFill>
                    <a:solidFill>
                      <a:srgbClr val="FFFFFF"/>
                    </a:solidFill>
                  </a14:hiddenFill>
                </a:ext>
              </a:extLst>
            </xdr:spPr>
          </xdr:pic>
          <xdr:pic>
            <xdr:nvPicPr>
              <xdr:cNvPr id="113" name="Picture 112"/>
              <xdr:cNvPicPr>
                <a:picLocks noChangeAspect="1" noChangeArrowheads="1"/>
                <a:extLst>
                  <a:ext uri="{84589F7E-364E-4C9E-8A38-B11213B215E9}">
                    <a14:cameraTool cellRange="Flag11" spid="_x0000_s7906"/>
                  </a:ext>
                </a:extLst>
              </xdr:cNvPicPr>
            </xdr:nvPicPr>
            <xdr:blipFill>
              <a:blip xmlns:r="http://schemas.openxmlformats.org/officeDocument/2006/relationships" r:embed="rId1"/>
              <a:srcRect/>
              <a:stretch>
                <a:fillRect/>
              </a:stretch>
            </xdr:blipFill>
            <xdr:spPr bwMode="auto">
              <a:xfrm>
                <a:off x="2986524" y="11844708"/>
                <a:ext cx="237393" cy="191965"/>
              </a:xfrm>
              <a:prstGeom prst="rect">
                <a:avLst/>
              </a:prstGeom>
              <a:noFill/>
              <a:extLst>
                <a:ext uri="{909E8E84-426E-40DD-AFC4-6F175D3DCCD1}">
                  <a14:hiddenFill>
                    <a:solidFill>
                      <a:srgbClr val="FFFFFF"/>
                    </a:solidFill>
                  </a14:hiddenFill>
                </a:ext>
              </a:extLst>
            </xdr:spPr>
          </xdr:pic>
          <xdr:pic>
            <xdr:nvPicPr>
              <xdr:cNvPr id="114" name="Picture 113"/>
              <xdr:cNvPicPr>
                <a:picLocks noChangeAspect="1" noChangeArrowheads="1"/>
                <a:extLst>
                  <a:ext uri="{84589F7E-364E-4C9E-8A38-B11213B215E9}">
                    <a14:cameraTool cellRange="Flag12" spid="_x0000_s7907"/>
                  </a:ext>
                </a:extLst>
              </xdr:cNvPicPr>
            </xdr:nvPicPr>
            <xdr:blipFill>
              <a:blip xmlns:r="http://schemas.openxmlformats.org/officeDocument/2006/relationships" r:embed="rId1"/>
              <a:srcRect/>
              <a:stretch>
                <a:fillRect/>
              </a:stretch>
            </xdr:blipFill>
            <xdr:spPr bwMode="auto">
              <a:xfrm>
                <a:off x="2986524" y="12030128"/>
                <a:ext cx="237392" cy="191964"/>
              </a:xfrm>
              <a:prstGeom prst="rect">
                <a:avLst/>
              </a:prstGeom>
              <a:noFill/>
              <a:extLst>
                <a:ext uri="{909E8E84-426E-40DD-AFC4-6F175D3DCCD1}">
                  <a14:hiddenFill>
                    <a:solidFill>
                      <a:srgbClr val="FFFFFF"/>
                    </a:solidFill>
                  </a14:hiddenFill>
                </a:ext>
              </a:extLst>
            </xdr:spPr>
          </xdr:pic>
          <xdr:pic>
            <xdr:nvPicPr>
              <xdr:cNvPr id="115" name="Picture 114"/>
              <xdr:cNvPicPr>
                <a:picLocks noChangeAspect="1" noChangeArrowheads="1"/>
                <a:extLst>
                  <a:ext uri="{84589F7E-364E-4C9E-8A38-B11213B215E9}">
                    <a14:cameraTool cellRange="Flag13" spid="_x0000_s7908"/>
                  </a:ext>
                </a:extLst>
              </xdr:cNvPicPr>
            </xdr:nvPicPr>
            <xdr:blipFill>
              <a:blip xmlns:r="http://schemas.openxmlformats.org/officeDocument/2006/relationships" r:embed="rId1"/>
              <a:srcRect/>
              <a:stretch>
                <a:fillRect/>
              </a:stretch>
            </xdr:blipFill>
            <xdr:spPr bwMode="auto">
              <a:xfrm>
                <a:off x="2986524" y="12215547"/>
                <a:ext cx="237392" cy="191966"/>
              </a:xfrm>
              <a:prstGeom prst="rect">
                <a:avLst/>
              </a:prstGeom>
              <a:noFill/>
              <a:extLst>
                <a:ext uri="{909E8E84-426E-40DD-AFC4-6F175D3DCCD1}">
                  <a14:hiddenFill>
                    <a:solidFill>
                      <a:srgbClr val="FFFFFF"/>
                    </a:solidFill>
                  </a14:hiddenFill>
                </a:ext>
              </a:extLst>
            </xdr:spPr>
          </xdr:pic>
          <xdr:pic>
            <xdr:nvPicPr>
              <xdr:cNvPr id="116" name="Picture 115"/>
              <xdr:cNvPicPr>
                <a:picLocks noChangeAspect="1" noChangeArrowheads="1"/>
                <a:extLst>
                  <a:ext uri="{84589F7E-364E-4C9E-8A38-B11213B215E9}">
                    <a14:cameraTool cellRange="Flag14" spid="_x0000_s7909"/>
                  </a:ext>
                </a:extLst>
              </xdr:cNvPicPr>
            </xdr:nvPicPr>
            <xdr:blipFill>
              <a:blip xmlns:r="http://schemas.openxmlformats.org/officeDocument/2006/relationships" r:embed="rId1"/>
              <a:srcRect/>
              <a:stretch>
                <a:fillRect/>
              </a:stretch>
            </xdr:blipFill>
            <xdr:spPr bwMode="auto">
              <a:xfrm>
                <a:off x="2986524" y="12400968"/>
                <a:ext cx="237392" cy="191965"/>
              </a:xfrm>
              <a:prstGeom prst="rect">
                <a:avLst/>
              </a:prstGeom>
              <a:noFill/>
              <a:extLst>
                <a:ext uri="{909E8E84-426E-40DD-AFC4-6F175D3DCCD1}">
                  <a14:hiddenFill>
                    <a:solidFill>
                      <a:srgbClr val="FFFFFF"/>
                    </a:solidFill>
                  </a14:hiddenFill>
                </a:ext>
              </a:extLst>
            </xdr:spPr>
          </xdr:pic>
          <xdr:pic>
            <xdr:nvPicPr>
              <xdr:cNvPr id="117" name="Picture 116"/>
              <xdr:cNvPicPr>
                <a:picLocks noChangeAspect="1" noChangeArrowheads="1"/>
                <a:extLst>
                  <a:ext uri="{84589F7E-364E-4C9E-8A38-B11213B215E9}">
                    <a14:cameraTool cellRange="Flag15" spid="_x0000_s7910"/>
                  </a:ext>
                </a:extLst>
              </xdr:cNvPicPr>
            </xdr:nvPicPr>
            <xdr:blipFill>
              <a:blip xmlns:r="http://schemas.openxmlformats.org/officeDocument/2006/relationships" r:embed="rId1"/>
              <a:srcRect/>
              <a:stretch>
                <a:fillRect/>
              </a:stretch>
            </xdr:blipFill>
            <xdr:spPr bwMode="auto">
              <a:xfrm>
                <a:off x="2986524" y="12586388"/>
                <a:ext cx="234950" cy="191965"/>
              </a:xfrm>
              <a:prstGeom prst="rect">
                <a:avLst/>
              </a:prstGeom>
              <a:noFill/>
              <a:extLst>
                <a:ext uri="{909E8E84-426E-40DD-AFC4-6F175D3DCCD1}">
                  <a14:hiddenFill>
                    <a:solidFill>
                      <a:srgbClr val="FFFFFF"/>
                    </a:solidFill>
                  </a14:hiddenFill>
                </a:ext>
              </a:extLst>
            </xdr:spPr>
          </xdr:pic>
          <xdr:pic>
            <xdr:nvPicPr>
              <xdr:cNvPr id="118" name="Picture 117"/>
              <xdr:cNvPicPr>
                <a:picLocks noChangeAspect="1" noChangeArrowheads="1"/>
                <a:extLst>
                  <a:ext uri="{84589F7E-364E-4C9E-8A38-B11213B215E9}">
                    <a14:cameraTool cellRange="Flag16" spid="_x0000_s7911"/>
                  </a:ext>
                </a:extLst>
              </xdr:cNvPicPr>
            </xdr:nvPicPr>
            <xdr:blipFill>
              <a:blip xmlns:r="http://schemas.openxmlformats.org/officeDocument/2006/relationships" r:embed="rId1"/>
              <a:srcRect/>
              <a:stretch>
                <a:fillRect/>
              </a:stretch>
            </xdr:blipFill>
            <xdr:spPr bwMode="auto">
              <a:xfrm>
                <a:off x="2986524" y="12771804"/>
                <a:ext cx="237392" cy="191617"/>
              </a:xfrm>
              <a:prstGeom prst="rect">
                <a:avLst/>
              </a:prstGeom>
              <a:noFill/>
              <a:extLst>
                <a:ext uri="{909E8E84-426E-40DD-AFC4-6F175D3DCCD1}">
                  <a14:hiddenFill>
                    <a:solidFill>
                      <a:srgbClr val="FFFFFF"/>
                    </a:solidFill>
                  </a14:hiddenFill>
                </a:ext>
              </a:extLst>
            </xdr:spPr>
          </xdr:pic>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58066</xdr:colOff>
          <xdr:row>53</xdr:row>
          <xdr:rowOff>977</xdr:rowOff>
        </xdr:from>
        <xdr:to>
          <xdr:col>10</xdr:col>
          <xdr:colOff>3935</xdr:colOff>
          <xdr:row>69</xdr:row>
          <xdr:rowOff>5513</xdr:rowOff>
        </xdr:to>
        <xdr:grpSp>
          <xdr:nvGrpSpPr>
            <xdr:cNvPr id="119" name="Group 118"/>
            <xdr:cNvGrpSpPr/>
          </xdr:nvGrpSpPr>
          <xdr:grpSpPr>
            <a:xfrm>
              <a:off x="3798216" y="9913327"/>
              <a:ext cx="237969" cy="2950936"/>
              <a:chOff x="2986524" y="9989038"/>
              <a:chExt cx="239834" cy="2974383"/>
            </a:xfrm>
          </xdr:grpSpPr>
          <xdr:pic>
            <xdr:nvPicPr>
              <xdr:cNvPr id="120" name="Picture 119"/>
              <xdr:cNvPicPr>
                <a:picLocks noChangeAspect="1" noChangeArrowheads="1"/>
                <a:extLst>
                  <a:ext uri="{84589F7E-364E-4C9E-8A38-B11213B215E9}">
                    <a14:cameraTool cellRange="Flag17" spid="_x0000_s7912"/>
                  </a:ext>
                </a:extLst>
              </xdr:cNvPicPr>
            </xdr:nvPicPr>
            <xdr:blipFill>
              <a:blip xmlns:r="http://schemas.openxmlformats.org/officeDocument/2006/relationships" r:embed="rId1"/>
              <a:srcRect/>
              <a:stretch>
                <a:fillRect/>
              </a:stretch>
            </xdr:blipFill>
            <xdr:spPr bwMode="auto">
              <a:xfrm>
                <a:off x="2986524" y="9989038"/>
                <a:ext cx="237392" cy="191966"/>
              </a:xfrm>
              <a:prstGeom prst="rect">
                <a:avLst/>
              </a:prstGeom>
              <a:noFill/>
              <a:extLst>
                <a:ext uri="{909E8E84-426E-40DD-AFC4-6F175D3DCCD1}">
                  <a14:hiddenFill>
                    <a:solidFill>
                      <a:srgbClr val="FFFFFF"/>
                    </a:solidFill>
                  </a14:hiddenFill>
                </a:ext>
              </a:extLst>
            </xdr:spPr>
          </xdr:pic>
          <xdr:pic>
            <xdr:nvPicPr>
              <xdr:cNvPr id="121" name="Picture 120"/>
              <xdr:cNvPicPr>
                <a:picLocks noChangeAspect="1" noChangeArrowheads="1"/>
                <a:extLst>
                  <a:ext uri="{84589F7E-364E-4C9E-8A38-B11213B215E9}">
                    <a14:cameraTool cellRange="Flag18" spid="_x0000_s7913"/>
                  </a:ext>
                </a:extLst>
              </xdr:cNvPicPr>
            </xdr:nvPicPr>
            <xdr:blipFill>
              <a:blip xmlns:r="http://schemas.openxmlformats.org/officeDocument/2006/relationships" r:embed="rId1"/>
              <a:srcRect/>
              <a:stretch>
                <a:fillRect/>
              </a:stretch>
            </xdr:blipFill>
            <xdr:spPr bwMode="auto">
              <a:xfrm>
                <a:off x="2986524" y="10174459"/>
                <a:ext cx="237392" cy="191966"/>
              </a:xfrm>
              <a:prstGeom prst="rect">
                <a:avLst/>
              </a:prstGeom>
              <a:noFill/>
              <a:extLst>
                <a:ext uri="{909E8E84-426E-40DD-AFC4-6F175D3DCCD1}">
                  <a14:hiddenFill>
                    <a:solidFill>
                      <a:srgbClr val="FFFFFF"/>
                    </a:solidFill>
                  </a14:hiddenFill>
                </a:ext>
              </a:extLst>
            </xdr:spPr>
          </xdr:pic>
          <xdr:pic>
            <xdr:nvPicPr>
              <xdr:cNvPr id="122" name="Picture 121"/>
              <xdr:cNvPicPr>
                <a:picLocks noChangeAspect="1" noChangeArrowheads="1"/>
                <a:extLst>
                  <a:ext uri="{84589F7E-364E-4C9E-8A38-B11213B215E9}">
                    <a14:cameraTool cellRange="Flag19" spid="_x0000_s7914"/>
                  </a:ext>
                </a:extLst>
              </xdr:cNvPicPr>
            </xdr:nvPicPr>
            <xdr:blipFill>
              <a:blip xmlns:r="http://schemas.openxmlformats.org/officeDocument/2006/relationships" r:embed="rId1"/>
              <a:srcRect/>
              <a:stretch>
                <a:fillRect/>
              </a:stretch>
            </xdr:blipFill>
            <xdr:spPr bwMode="auto">
              <a:xfrm>
                <a:off x="2986524" y="10359880"/>
                <a:ext cx="237393" cy="191965"/>
              </a:xfrm>
              <a:prstGeom prst="rect">
                <a:avLst/>
              </a:prstGeom>
              <a:noFill/>
              <a:extLst>
                <a:ext uri="{909E8E84-426E-40DD-AFC4-6F175D3DCCD1}">
                  <a14:hiddenFill>
                    <a:solidFill>
                      <a:srgbClr val="FFFFFF"/>
                    </a:solidFill>
                  </a14:hiddenFill>
                </a:ext>
              </a:extLst>
            </xdr:spPr>
          </xdr:pic>
          <xdr:pic>
            <xdr:nvPicPr>
              <xdr:cNvPr id="123" name="Picture 122"/>
              <xdr:cNvPicPr>
                <a:picLocks noChangeAspect="1" noChangeArrowheads="1"/>
                <a:extLst>
                  <a:ext uri="{84589F7E-364E-4C9E-8A38-B11213B215E9}">
                    <a14:cameraTool cellRange="Flag20" spid="_x0000_s7915"/>
                  </a:ext>
                </a:extLst>
              </xdr:cNvPicPr>
            </xdr:nvPicPr>
            <xdr:blipFill>
              <a:blip xmlns:r="http://schemas.openxmlformats.org/officeDocument/2006/relationships" r:embed="rId1"/>
              <a:srcRect/>
              <a:stretch>
                <a:fillRect/>
              </a:stretch>
            </xdr:blipFill>
            <xdr:spPr bwMode="auto">
              <a:xfrm>
                <a:off x="2986524" y="10545300"/>
                <a:ext cx="237392" cy="191966"/>
              </a:xfrm>
              <a:prstGeom prst="rect">
                <a:avLst/>
              </a:prstGeom>
              <a:noFill/>
              <a:extLst>
                <a:ext uri="{909E8E84-426E-40DD-AFC4-6F175D3DCCD1}">
                  <a14:hiddenFill>
                    <a:solidFill>
                      <a:srgbClr val="FFFFFF"/>
                    </a:solidFill>
                  </a14:hiddenFill>
                </a:ext>
              </a:extLst>
            </xdr:spPr>
          </xdr:pic>
          <xdr:pic>
            <xdr:nvPicPr>
              <xdr:cNvPr id="124" name="Picture 123"/>
              <xdr:cNvPicPr>
                <a:picLocks noChangeAspect="1" noChangeArrowheads="1"/>
                <a:extLst>
                  <a:ext uri="{84589F7E-364E-4C9E-8A38-B11213B215E9}">
                    <a14:cameraTool cellRange="Flag21" spid="_x0000_s7916"/>
                  </a:ext>
                </a:extLst>
              </xdr:cNvPicPr>
            </xdr:nvPicPr>
            <xdr:blipFill>
              <a:blip xmlns:r="http://schemas.openxmlformats.org/officeDocument/2006/relationships" r:embed="rId1"/>
              <a:srcRect/>
              <a:stretch>
                <a:fillRect/>
              </a:stretch>
            </xdr:blipFill>
            <xdr:spPr bwMode="auto">
              <a:xfrm>
                <a:off x="2986524" y="10730721"/>
                <a:ext cx="237392" cy="191965"/>
              </a:xfrm>
              <a:prstGeom prst="rect">
                <a:avLst/>
              </a:prstGeom>
              <a:noFill/>
              <a:extLst>
                <a:ext uri="{909E8E84-426E-40DD-AFC4-6F175D3DCCD1}">
                  <a14:hiddenFill>
                    <a:solidFill>
                      <a:srgbClr val="FFFFFF"/>
                    </a:solidFill>
                  </a14:hiddenFill>
                </a:ext>
              </a:extLst>
            </xdr:spPr>
          </xdr:pic>
          <xdr:pic>
            <xdr:nvPicPr>
              <xdr:cNvPr id="125" name="Picture 124"/>
              <xdr:cNvPicPr>
                <a:picLocks noChangeAspect="1" noChangeArrowheads="1"/>
                <a:extLst>
                  <a:ext uri="{84589F7E-364E-4C9E-8A38-B11213B215E9}">
                    <a14:cameraTool cellRange="Flag22" spid="_x0000_s7917"/>
                  </a:ext>
                </a:extLst>
              </xdr:cNvPicPr>
            </xdr:nvPicPr>
            <xdr:blipFill>
              <a:blip xmlns:r="http://schemas.openxmlformats.org/officeDocument/2006/relationships" r:embed="rId1"/>
              <a:srcRect/>
              <a:stretch>
                <a:fillRect/>
              </a:stretch>
            </xdr:blipFill>
            <xdr:spPr bwMode="auto">
              <a:xfrm>
                <a:off x="2986524" y="10916141"/>
                <a:ext cx="237392" cy="191965"/>
              </a:xfrm>
              <a:prstGeom prst="rect">
                <a:avLst/>
              </a:prstGeom>
              <a:noFill/>
              <a:extLst>
                <a:ext uri="{909E8E84-426E-40DD-AFC4-6F175D3DCCD1}">
                  <a14:hiddenFill>
                    <a:solidFill>
                      <a:srgbClr val="FFFFFF"/>
                    </a:solidFill>
                  </a14:hiddenFill>
                </a:ext>
              </a:extLst>
            </xdr:spPr>
          </xdr:pic>
          <xdr:pic>
            <xdr:nvPicPr>
              <xdr:cNvPr id="126" name="Picture 125"/>
              <xdr:cNvPicPr>
                <a:picLocks noChangeAspect="1" noChangeArrowheads="1"/>
                <a:extLst>
                  <a:ext uri="{84589F7E-364E-4C9E-8A38-B11213B215E9}">
                    <a14:cameraTool cellRange="Flag23" spid="_x0000_s7918"/>
                  </a:ext>
                </a:extLst>
              </xdr:cNvPicPr>
            </xdr:nvPicPr>
            <xdr:blipFill>
              <a:blip xmlns:r="http://schemas.openxmlformats.org/officeDocument/2006/relationships" r:embed="rId1"/>
              <a:srcRect/>
              <a:stretch>
                <a:fillRect/>
              </a:stretch>
            </xdr:blipFill>
            <xdr:spPr bwMode="auto">
              <a:xfrm>
                <a:off x="2986524" y="11101561"/>
                <a:ext cx="234950" cy="193431"/>
              </a:xfrm>
              <a:prstGeom prst="rect">
                <a:avLst/>
              </a:prstGeom>
              <a:noFill/>
              <a:extLst>
                <a:ext uri="{909E8E84-426E-40DD-AFC4-6F175D3DCCD1}">
                  <a14:hiddenFill>
                    <a:solidFill>
                      <a:srgbClr val="FFFFFF"/>
                    </a:solidFill>
                  </a14:hiddenFill>
                </a:ext>
              </a:extLst>
            </xdr:spPr>
          </xdr:pic>
          <xdr:pic>
            <xdr:nvPicPr>
              <xdr:cNvPr id="127" name="Picture 126"/>
              <xdr:cNvPicPr>
                <a:picLocks noChangeAspect="1" noChangeArrowheads="1"/>
                <a:extLst>
                  <a:ext uri="{84589F7E-364E-4C9E-8A38-B11213B215E9}">
                    <a14:cameraTool cellRange="Flag24" spid="_x0000_s7919"/>
                  </a:ext>
                </a:extLst>
              </xdr:cNvPicPr>
            </xdr:nvPicPr>
            <xdr:blipFill>
              <a:blip xmlns:r="http://schemas.openxmlformats.org/officeDocument/2006/relationships" r:embed="rId1"/>
              <a:srcRect/>
              <a:stretch>
                <a:fillRect/>
              </a:stretch>
            </xdr:blipFill>
            <xdr:spPr bwMode="auto">
              <a:xfrm>
                <a:off x="2986524" y="11288447"/>
                <a:ext cx="234950" cy="191966"/>
              </a:xfrm>
              <a:prstGeom prst="rect">
                <a:avLst/>
              </a:prstGeom>
              <a:noFill/>
              <a:extLst>
                <a:ext uri="{909E8E84-426E-40DD-AFC4-6F175D3DCCD1}">
                  <a14:hiddenFill>
                    <a:solidFill>
                      <a:srgbClr val="FFFFFF"/>
                    </a:solidFill>
                  </a14:hiddenFill>
                </a:ext>
              </a:extLst>
            </xdr:spPr>
          </xdr:pic>
          <xdr:pic>
            <xdr:nvPicPr>
              <xdr:cNvPr id="128" name="Picture 127"/>
              <xdr:cNvPicPr>
                <a:picLocks noChangeAspect="1" noChangeArrowheads="1"/>
                <a:extLst>
                  <a:ext uri="{84589F7E-364E-4C9E-8A38-B11213B215E9}">
                    <a14:cameraTool cellRange="Flag25" spid="_x0000_s7920"/>
                  </a:ext>
                </a:extLst>
              </xdr:cNvPicPr>
            </xdr:nvPicPr>
            <xdr:blipFill>
              <a:blip xmlns:r="http://schemas.openxmlformats.org/officeDocument/2006/relationships" r:embed="rId1"/>
              <a:srcRect/>
              <a:stretch>
                <a:fillRect/>
              </a:stretch>
            </xdr:blipFill>
            <xdr:spPr bwMode="auto">
              <a:xfrm>
                <a:off x="2986524" y="11473868"/>
                <a:ext cx="239834" cy="191964"/>
              </a:xfrm>
              <a:prstGeom prst="rect">
                <a:avLst/>
              </a:prstGeom>
              <a:noFill/>
              <a:extLst>
                <a:ext uri="{909E8E84-426E-40DD-AFC4-6F175D3DCCD1}">
                  <a14:hiddenFill>
                    <a:solidFill>
                      <a:srgbClr val="FFFFFF"/>
                    </a:solidFill>
                  </a14:hiddenFill>
                </a:ext>
              </a:extLst>
            </xdr:spPr>
          </xdr:pic>
          <xdr:pic>
            <xdr:nvPicPr>
              <xdr:cNvPr id="129" name="Picture 128"/>
              <xdr:cNvPicPr>
                <a:picLocks noChangeAspect="1" noChangeArrowheads="1"/>
                <a:extLst>
                  <a:ext uri="{84589F7E-364E-4C9E-8A38-B11213B215E9}">
                    <a14:cameraTool cellRange="Flag26" spid="_x0000_s7921"/>
                  </a:ext>
                </a:extLst>
              </xdr:cNvPicPr>
            </xdr:nvPicPr>
            <xdr:blipFill>
              <a:blip xmlns:r="http://schemas.openxmlformats.org/officeDocument/2006/relationships" r:embed="rId1"/>
              <a:srcRect/>
              <a:stretch>
                <a:fillRect/>
              </a:stretch>
            </xdr:blipFill>
            <xdr:spPr bwMode="auto">
              <a:xfrm>
                <a:off x="2986524" y="11659287"/>
                <a:ext cx="237392" cy="191966"/>
              </a:xfrm>
              <a:prstGeom prst="rect">
                <a:avLst/>
              </a:prstGeom>
              <a:noFill/>
              <a:extLst>
                <a:ext uri="{909E8E84-426E-40DD-AFC4-6F175D3DCCD1}">
                  <a14:hiddenFill>
                    <a:solidFill>
                      <a:srgbClr val="FFFFFF"/>
                    </a:solidFill>
                  </a14:hiddenFill>
                </a:ext>
              </a:extLst>
            </xdr:spPr>
          </xdr:pic>
          <xdr:pic>
            <xdr:nvPicPr>
              <xdr:cNvPr id="130" name="Picture 129"/>
              <xdr:cNvPicPr>
                <a:picLocks noChangeAspect="1" noChangeArrowheads="1"/>
                <a:extLst>
                  <a:ext uri="{84589F7E-364E-4C9E-8A38-B11213B215E9}">
                    <a14:cameraTool cellRange="Flag27" spid="_x0000_s7922"/>
                  </a:ext>
                </a:extLst>
              </xdr:cNvPicPr>
            </xdr:nvPicPr>
            <xdr:blipFill>
              <a:blip xmlns:r="http://schemas.openxmlformats.org/officeDocument/2006/relationships" r:embed="rId1"/>
              <a:srcRect/>
              <a:stretch>
                <a:fillRect/>
              </a:stretch>
            </xdr:blipFill>
            <xdr:spPr bwMode="auto">
              <a:xfrm>
                <a:off x="2986524" y="11844708"/>
                <a:ext cx="237393" cy="191965"/>
              </a:xfrm>
              <a:prstGeom prst="rect">
                <a:avLst/>
              </a:prstGeom>
              <a:noFill/>
              <a:extLst>
                <a:ext uri="{909E8E84-426E-40DD-AFC4-6F175D3DCCD1}">
                  <a14:hiddenFill>
                    <a:solidFill>
                      <a:srgbClr val="FFFFFF"/>
                    </a:solidFill>
                  </a14:hiddenFill>
                </a:ext>
              </a:extLst>
            </xdr:spPr>
          </xdr:pic>
          <xdr:pic>
            <xdr:nvPicPr>
              <xdr:cNvPr id="131" name="Picture 130"/>
              <xdr:cNvPicPr>
                <a:picLocks noChangeAspect="1" noChangeArrowheads="1"/>
                <a:extLst>
                  <a:ext uri="{84589F7E-364E-4C9E-8A38-B11213B215E9}">
                    <a14:cameraTool cellRange="Flag28" spid="_x0000_s7923"/>
                  </a:ext>
                </a:extLst>
              </xdr:cNvPicPr>
            </xdr:nvPicPr>
            <xdr:blipFill>
              <a:blip xmlns:r="http://schemas.openxmlformats.org/officeDocument/2006/relationships" r:embed="rId1"/>
              <a:srcRect/>
              <a:stretch>
                <a:fillRect/>
              </a:stretch>
            </xdr:blipFill>
            <xdr:spPr bwMode="auto">
              <a:xfrm>
                <a:off x="2986524" y="12030128"/>
                <a:ext cx="237392" cy="191964"/>
              </a:xfrm>
              <a:prstGeom prst="rect">
                <a:avLst/>
              </a:prstGeom>
              <a:noFill/>
              <a:extLst>
                <a:ext uri="{909E8E84-426E-40DD-AFC4-6F175D3DCCD1}">
                  <a14:hiddenFill>
                    <a:solidFill>
                      <a:srgbClr val="FFFFFF"/>
                    </a:solidFill>
                  </a14:hiddenFill>
                </a:ext>
              </a:extLst>
            </xdr:spPr>
          </xdr:pic>
          <xdr:pic>
            <xdr:nvPicPr>
              <xdr:cNvPr id="132" name="Picture 131"/>
              <xdr:cNvPicPr>
                <a:picLocks noChangeAspect="1" noChangeArrowheads="1"/>
                <a:extLst>
                  <a:ext uri="{84589F7E-364E-4C9E-8A38-B11213B215E9}">
                    <a14:cameraTool cellRange="Flag29" spid="_x0000_s7924"/>
                  </a:ext>
                </a:extLst>
              </xdr:cNvPicPr>
            </xdr:nvPicPr>
            <xdr:blipFill>
              <a:blip xmlns:r="http://schemas.openxmlformats.org/officeDocument/2006/relationships" r:embed="rId1"/>
              <a:srcRect/>
              <a:stretch>
                <a:fillRect/>
              </a:stretch>
            </xdr:blipFill>
            <xdr:spPr bwMode="auto">
              <a:xfrm>
                <a:off x="2986524" y="12215547"/>
                <a:ext cx="237392" cy="191966"/>
              </a:xfrm>
              <a:prstGeom prst="rect">
                <a:avLst/>
              </a:prstGeom>
              <a:noFill/>
              <a:extLst>
                <a:ext uri="{909E8E84-426E-40DD-AFC4-6F175D3DCCD1}">
                  <a14:hiddenFill>
                    <a:solidFill>
                      <a:srgbClr val="FFFFFF"/>
                    </a:solidFill>
                  </a14:hiddenFill>
                </a:ext>
              </a:extLst>
            </xdr:spPr>
          </xdr:pic>
          <xdr:pic>
            <xdr:nvPicPr>
              <xdr:cNvPr id="133" name="Picture 132"/>
              <xdr:cNvPicPr>
                <a:picLocks noChangeAspect="1" noChangeArrowheads="1"/>
                <a:extLst>
                  <a:ext uri="{84589F7E-364E-4C9E-8A38-B11213B215E9}">
                    <a14:cameraTool cellRange="Flag30" spid="_x0000_s7925"/>
                  </a:ext>
                </a:extLst>
              </xdr:cNvPicPr>
            </xdr:nvPicPr>
            <xdr:blipFill>
              <a:blip xmlns:r="http://schemas.openxmlformats.org/officeDocument/2006/relationships" r:embed="rId1"/>
              <a:srcRect/>
              <a:stretch>
                <a:fillRect/>
              </a:stretch>
            </xdr:blipFill>
            <xdr:spPr bwMode="auto">
              <a:xfrm>
                <a:off x="2986524" y="12400968"/>
                <a:ext cx="237392" cy="191965"/>
              </a:xfrm>
              <a:prstGeom prst="rect">
                <a:avLst/>
              </a:prstGeom>
              <a:noFill/>
              <a:extLst>
                <a:ext uri="{909E8E84-426E-40DD-AFC4-6F175D3DCCD1}">
                  <a14:hiddenFill>
                    <a:solidFill>
                      <a:srgbClr val="FFFFFF"/>
                    </a:solidFill>
                  </a14:hiddenFill>
                </a:ext>
              </a:extLst>
            </xdr:spPr>
          </xdr:pic>
          <xdr:pic>
            <xdr:nvPicPr>
              <xdr:cNvPr id="134" name="Picture 133"/>
              <xdr:cNvPicPr>
                <a:picLocks noChangeAspect="1" noChangeArrowheads="1"/>
                <a:extLst>
                  <a:ext uri="{84589F7E-364E-4C9E-8A38-B11213B215E9}">
                    <a14:cameraTool cellRange="Flag31" spid="_x0000_s7926"/>
                  </a:ext>
                </a:extLst>
              </xdr:cNvPicPr>
            </xdr:nvPicPr>
            <xdr:blipFill>
              <a:blip xmlns:r="http://schemas.openxmlformats.org/officeDocument/2006/relationships" r:embed="rId1"/>
              <a:srcRect/>
              <a:stretch>
                <a:fillRect/>
              </a:stretch>
            </xdr:blipFill>
            <xdr:spPr bwMode="auto">
              <a:xfrm>
                <a:off x="2986524" y="12586388"/>
                <a:ext cx="234950" cy="191965"/>
              </a:xfrm>
              <a:prstGeom prst="rect">
                <a:avLst/>
              </a:prstGeom>
              <a:noFill/>
              <a:extLst>
                <a:ext uri="{909E8E84-426E-40DD-AFC4-6F175D3DCCD1}">
                  <a14:hiddenFill>
                    <a:solidFill>
                      <a:srgbClr val="FFFFFF"/>
                    </a:solidFill>
                  </a14:hiddenFill>
                </a:ext>
              </a:extLst>
            </xdr:spPr>
          </xdr:pic>
          <xdr:pic>
            <xdr:nvPicPr>
              <xdr:cNvPr id="135" name="Picture 134"/>
              <xdr:cNvPicPr>
                <a:picLocks noChangeAspect="1" noChangeArrowheads="1"/>
                <a:extLst>
                  <a:ext uri="{84589F7E-364E-4C9E-8A38-B11213B215E9}">
                    <a14:cameraTool cellRange="Flag32" spid="_x0000_s7927"/>
                  </a:ext>
                </a:extLst>
              </xdr:cNvPicPr>
            </xdr:nvPicPr>
            <xdr:blipFill>
              <a:blip xmlns:r="http://schemas.openxmlformats.org/officeDocument/2006/relationships" r:embed="rId1"/>
              <a:srcRect/>
              <a:stretch>
                <a:fillRect/>
              </a:stretch>
            </xdr:blipFill>
            <xdr:spPr bwMode="auto">
              <a:xfrm>
                <a:off x="2986524" y="12771804"/>
                <a:ext cx="237392" cy="191617"/>
              </a:xfrm>
              <a:prstGeom prst="rect">
                <a:avLst/>
              </a:prstGeom>
              <a:noFill/>
              <a:extLst>
                <a:ext uri="{909E8E84-426E-40DD-AFC4-6F175D3DCCD1}">
                  <a14:hiddenFill>
                    <a:solidFill>
                      <a:srgbClr val="FFFFFF"/>
                    </a:solidFill>
                  </a14:hiddenFill>
                </a:ext>
              </a:extLst>
            </xdr:spPr>
          </xdr:pic>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2309</xdr:colOff>
          <xdr:row>58</xdr:row>
          <xdr:rowOff>11545</xdr:rowOff>
        </xdr:from>
        <xdr:to>
          <xdr:col>16</xdr:col>
          <xdr:colOff>55413</xdr:colOff>
          <xdr:row>59</xdr:row>
          <xdr:rowOff>17520</xdr:rowOff>
        </xdr:to>
        <xdr:pic>
          <xdr:nvPicPr>
            <xdr:cNvPr id="136" name="Picture 135"/>
            <xdr:cNvPicPr>
              <a:picLocks noChangeAspect="1" noChangeArrowheads="1"/>
              <a:extLst>
                <a:ext uri="{84589F7E-364E-4C9E-8A38-B11213B215E9}">
                  <a14:cameraTool cellRange="Flag33" spid="_x0000_s7928"/>
                </a:ext>
              </a:extLst>
            </xdr:cNvPicPr>
          </xdr:nvPicPr>
          <xdr:blipFill>
            <a:blip xmlns:r="http://schemas.openxmlformats.org/officeDocument/2006/relationships" r:embed="rId1"/>
            <a:srcRect/>
            <a:stretch>
              <a:fillRect/>
            </a:stretch>
          </xdr:blipFill>
          <xdr:spPr bwMode="auto">
            <a:xfrm>
              <a:off x="7495309" y="10875818"/>
              <a:ext cx="237831" cy="1907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2309</xdr:colOff>
          <xdr:row>63</xdr:row>
          <xdr:rowOff>88900</xdr:rowOff>
        </xdr:from>
        <xdr:to>
          <xdr:col>16</xdr:col>
          <xdr:colOff>55413</xdr:colOff>
          <xdr:row>64</xdr:row>
          <xdr:rowOff>94875</xdr:rowOff>
        </xdr:to>
        <xdr:pic>
          <xdr:nvPicPr>
            <xdr:cNvPr id="137" name="Picture 136"/>
            <xdr:cNvPicPr>
              <a:picLocks noChangeAspect="1" noChangeArrowheads="1"/>
              <a:extLst>
                <a:ext uri="{84589F7E-364E-4C9E-8A38-B11213B215E9}">
                  <a14:cameraTool cellRange="Flag34" spid="_x0000_s7929"/>
                </a:ext>
              </a:extLst>
            </xdr:cNvPicPr>
          </xdr:nvPicPr>
          <xdr:blipFill>
            <a:blip xmlns:r="http://schemas.openxmlformats.org/officeDocument/2006/relationships" r:embed="rId1"/>
            <a:srcRect/>
            <a:stretch>
              <a:fillRect/>
            </a:stretch>
          </xdr:blipFill>
          <xdr:spPr bwMode="auto">
            <a:xfrm>
              <a:off x="7495309" y="11876809"/>
              <a:ext cx="237831" cy="1907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2309</xdr:colOff>
          <xdr:row>67</xdr:row>
          <xdr:rowOff>96982</xdr:rowOff>
        </xdr:from>
        <xdr:to>
          <xdr:col>16</xdr:col>
          <xdr:colOff>55413</xdr:colOff>
          <xdr:row>68</xdr:row>
          <xdr:rowOff>102957</xdr:rowOff>
        </xdr:to>
        <xdr:pic>
          <xdr:nvPicPr>
            <xdr:cNvPr id="138" name="Picture 137"/>
            <xdr:cNvPicPr>
              <a:picLocks noChangeAspect="1" noChangeArrowheads="1"/>
              <a:extLst>
                <a:ext uri="{84589F7E-364E-4C9E-8A38-B11213B215E9}">
                  <a14:cameraTool cellRange="Flag35" spid="_x0000_s7930"/>
                </a:ext>
              </a:extLst>
            </xdr:cNvPicPr>
          </xdr:nvPicPr>
          <xdr:blipFill>
            <a:blip xmlns:r="http://schemas.openxmlformats.org/officeDocument/2006/relationships" r:embed="rId1"/>
            <a:srcRect/>
            <a:stretch>
              <a:fillRect/>
            </a:stretch>
          </xdr:blipFill>
          <xdr:spPr bwMode="auto">
            <a:xfrm>
              <a:off x="7495309" y="12623800"/>
              <a:ext cx="237831" cy="1907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76200</xdr:colOff>
      <xdr:row>4</xdr:row>
      <xdr:rowOff>8804</xdr:rowOff>
    </xdr:from>
    <xdr:to>
      <xdr:col>9</xdr:col>
      <xdr:colOff>247143</xdr:colOff>
      <xdr:row>51</xdr:row>
      <xdr:rowOff>174224</xdr:rowOff>
    </xdr:to>
    <xdr:grpSp>
      <xdr:nvGrpSpPr>
        <xdr:cNvPr id="56" name="Group 55"/>
        <xdr:cNvGrpSpPr/>
      </xdr:nvGrpSpPr>
      <xdr:grpSpPr>
        <a:xfrm>
          <a:off x="3816350" y="897804"/>
          <a:ext cx="170943" cy="8820470"/>
          <a:chOff x="3826933" y="902111"/>
          <a:chExt cx="170943" cy="8919880"/>
        </a:xfrm>
      </xdr:grpSpPr>
      <xdr:grpSp>
        <xdr:nvGrpSpPr>
          <xdr:cNvPr id="35" name="Group 34"/>
          <xdr:cNvGrpSpPr/>
        </xdr:nvGrpSpPr>
        <xdr:grpSpPr>
          <a:xfrm>
            <a:off x="3826933" y="902111"/>
            <a:ext cx="167109" cy="8919880"/>
            <a:chOff x="3828473" y="897824"/>
            <a:chExt cx="167109" cy="8847582"/>
          </a:xfrm>
        </xdr:grpSpPr>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28473" y="2737909"/>
              <a:ext cx="164592" cy="166974"/>
            </a:xfrm>
            <a:prstGeom prst="rect">
              <a:avLst/>
            </a:prstGeom>
          </xdr:spPr>
        </xdr:pic>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28473" y="2182621"/>
              <a:ext cx="164592" cy="166974"/>
            </a:xfrm>
            <a:prstGeom prst="rect">
              <a:avLst/>
            </a:prstGeom>
          </xdr:spPr>
        </xdr:pic>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28473" y="2552278"/>
              <a:ext cx="164592" cy="166974"/>
            </a:xfrm>
            <a:prstGeom prst="rect">
              <a:avLst/>
            </a:prstGeom>
          </xdr:spPr>
        </xdr:pic>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28473" y="3293197"/>
              <a:ext cx="164592" cy="165369"/>
            </a:xfrm>
            <a:prstGeom prst="rect">
              <a:avLst/>
            </a:prstGeom>
          </xdr:spPr>
        </xdr:pic>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28473" y="1076862"/>
              <a:ext cx="164592" cy="165368"/>
            </a:xfrm>
            <a:prstGeom prst="rect">
              <a:avLst/>
            </a:prstGeom>
          </xdr:spPr>
        </xdr:pic>
        <xdr:pic>
          <xdr:nvPicPr>
            <xdr:cNvPr id="15" name="Pictur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28473" y="2368252"/>
              <a:ext cx="164592" cy="165369"/>
            </a:xfrm>
            <a:prstGeom prst="rect">
              <a:avLst/>
            </a:prstGeom>
          </xdr:spPr>
        </xdr:pic>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28473" y="1630543"/>
              <a:ext cx="164592" cy="165370"/>
            </a:xfrm>
            <a:prstGeom prst="rect">
              <a:avLst/>
            </a:prstGeom>
          </xdr:spPr>
        </xdr:pic>
        <xdr:pic>
          <xdr:nvPicPr>
            <xdr:cNvPr id="23" name="Picture 2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28473" y="3661248"/>
              <a:ext cx="164592" cy="165369"/>
            </a:xfrm>
            <a:prstGeom prst="rect">
              <a:avLst/>
            </a:prstGeom>
          </xdr:spPr>
        </xdr:pic>
        <xdr:pic>
          <xdr:nvPicPr>
            <xdr:cNvPr id="24" name="Picture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8473" y="1814570"/>
              <a:ext cx="164592" cy="165369"/>
            </a:xfrm>
            <a:prstGeom prst="rect">
              <a:avLst/>
            </a:prstGeom>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828473" y="1998596"/>
              <a:ext cx="164592" cy="165368"/>
            </a:xfrm>
            <a:prstGeom prst="rect">
              <a:avLst/>
            </a:prstGeom>
          </xdr:spPr>
        </xdr:pic>
        <xdr:pic>
          <xdr:nvPicPr>
            <xdr:cNvPr id="28" name="Picture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828473" y="897824"/>
              <a:ext cx="164592" cy="163533"/>
            </a:xfrm>
            <a:prstGeom prst="rect">
              <a:avLst/>
            </a:prstGeom>
          </xdr:spPr>
        </xdr:pic>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28473" y="3109171"/>
              <a:ext cx="164592" cy="165369"/>
            </a:xfrm>
            <a:prstGeom prst="rect">
              <a:avLst/>
            </a:prstGeom>
          </xdr:spPr>
        </xdr:pic>
        <xdr:pic>
          <xdr:nvPicPr>
            <xdr:cNvPr id="30" name="Picture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28473" y="1279772"/>
              <a:ext cx="164592" cy="166974"/>
            </a:xfrm>
            <a:prstGeom prst="rect">
              <a:avLst/>
            </a:prstGeom>
          </xdr:spPr>
        </xdr:pic>
        <xdr:pic>
          <xdr:nvPicPr>
            <xdr:cNvPr id="31" name="Picture 3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28473" y="3477223"/>
              <a:ext cx="164592" cy="165368"/>
            </a:xfrm>
            <a:prstGeom prst="rect">
              <a:avLst/>
            </a:prstGeom>
          </xdr:spPr>
        </xdr:pic>
        <xdr:pic>
          <xdr:nvPicPr>
            <xdr:cNvPr id="32" name="Picture 3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28473" y="2923540"/>
              <a:ext cx="164592" cy="166974"/>
            </a:xfrm>
            <a:prstGeom prst="rect">
              <a:avLst/>
            </a:prstGeom>
          </xdr:spPr>
        </xdr:pic>
        <xdr:pic>
          <xdr:nvPicPr>
            <xdr:cNvPr id="34" name="Picture 33"/>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5374" t="4455" r="16113" b="4985"/>
            <a:stretch/>
          </xdr:blipFill>
          <xdr:spPr>
            <a:xfrm>
              <a:off x="3828473" y="1443077"/>
              <a:ext cx="167109" cy="168809"/>
            </a:xfrm>
            <a:prstGeom prst="rect">
              <a:avLst/>
            </a:prstGeom>
          </xdr:spPr>
        </xdr:pic>
        <xdr:pic>
          <xdr:nvPicPr>
            <xdr:cNvPr id="38" name="Picture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28473" y="5324441"/>
              <a:ext cx="164592" cy="166974"/>
            </a:xfrm>
            <a:prstGeom prst="rect">
              <a:avLst/>
            </a:prstGeom>
          </xdr:spPr>
        </xdr:pic>
        <xdr:pic>
          <xdr:nvPicPr>
            <xdr:cNvPr id="39" name="Picture 3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28473" y="4585127"/>
              <a:ext cx="164592" cy="165369"/>
            </a:xfrm>
            <a:prstGeom prst="rect">
              <a:avLst/>
            </a:prstGeom>
          </xdr:spPr>
        </xdr:pic>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828473" y="6435083"/>
              <a:ext cx="164592" cy="165369"/>
            </a:xfrm>
            <a:prstGeom prst="rect">
              <a:avLst/>
            </a:prstGeom>
          </xdr:spPr>
        </xdr:pic>
        <xdr:pic>
          <xdr:nvPicPr>
            <xdr:cNvPr id="46" name="Picture 4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828473" y="5879729"/>
              <a:ext cx="164592" cy="166974"/>
            </a:xfrm>
            <a:prstGeom prst="rect">
              <a:avLst/>
            </a:prstGeom>
          </xdr:spPr>
        </xdr:pic>
        <xdr:pic>
          <xdr:nvPicPr>
            <xdr:cNvPr id="51" name="Picture 50"/>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828473" y="5140415"/>
              <a:ext cx="164592" cy="165369"/>
            </a:xfrm>
            <a:prstGeom prst="rect">
              <a:avLst/>
            </a:prstGeom>
          </xdr:spPr>
        </xdr:pic>
        <xdr:pic>
          <xdr:nvPicPr>
            <xdr:cNvPr id="52" name="Picture 5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828473" y="6619109"/>
              <a:ext cx="164592" cy="165368"/>
            </a:xfrm>
            <a:prstGeom prst="rect">
              <a:avLst/>
            </a:prstGeom>
          </xdr:spPr>
        </xdr:pic>
        <xdr:pic>
          <xdr:nvPicPr>
            <xdr:cNvPr id="53" name="Picture 52"/>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828473" y="5510072"/>
              <a:ext cx="164592" cy="166974"/>
            </a:xfrm>
            <a:prstGeom prst="rect">
              <a:avLst/>
            </a:prstGeom>
          </xdr:spPr>
        </xdr:pic>
        <xdr:pic>
          <xdr:nvPicPr>
            <xdr:cNvPr id="54" name="Picture 5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28473" y="4769153"/>
              <a:ext cx="164592" cy="166974"/>
            </a:xfrm>
            <a:prstGeom prst="rect">
              <a:avLst/>
            </a:prstGeom>
          </xdr:spPr>
        </xdr:pic>
        <xdr:pic>
          <xdr:nvPicPr>
            <xdr:cNvPr id="55" name="Picture 5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828473" y="4954784"/>
              <a:ext cx="164592" cy="166974"/>
            </a:xfrm>
            <a:prstGeom prst="rect">
              <a:avLst/>
            </a:prstGeom>
          </xdr:spPr>
        </xdr:pic>
        <xdr:pic>
          <xdr:nvPicPr>
            <xdr:cNvPr id="59" name="Picture 5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828473" y="4030972"/>
              <a:ext cx="164592" cy="166974"/>
            </a:xfrm>
            <a:prstGeom prst="rect">
              <a:avLst/>
            </a:prstGeom>
          </xdr:spPr>
        </xdr:pic>
        <xdr:pic>
          <xdr:nvPicPr>
            <xdr:cNvPr id="60" name="Picture 5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828473" y="4400628"/>
              <a:ext cx="164592" cy="165842"/>
            </a:xfrm>
            <a:prstGeom prst="rect">
              <a:avLst/>
            </a:prstGeom>
          </xdr:spPr>
        </xdr:pic>
        <xdr:pic>
          <xdr:nvPicPr>
            <xdr:cNvPr id="61" name="Picture 6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828473" y="4216603"/>
              <a:ext cx="164592" cy="165368"/>
            </a:xfrm>
            <a:prstGeom prst="rect">
              <a:avLst/>
            </a:prstGeom>
          </xdr:spPr>
        </xdr:pic>
        <xdr:pic>
          <xdr:nvPicPr>
            <xdr:cNvPr id="64" name="Picture 6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28473" y="6251057"/>
              <a:ext cx="164592" cy="165369"/>
            </a:xfrm>
            <a:prstGeom prst="rect">
              <a:avLst/>
            </a:prstGeom>
          </xdr:spPr>
        </xdr:pic>
        <xdr:pic>
          <xdr:nvPicPr>
            <xdr:cNvPr id="65" name="Picture 6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28473" y="5695703"/>
              <a:ext cx="164592" cy="165369"/>
            </a:xfrm>
            <a:prstGeom prst="rect">
              <a:avLst/>
            </a:prstGeom>
          </xdr:spPr>
        </xdr:pic>
        <xdr:pic>
          <xdr:nvPicPr>
            <xdr:cNvPr id="70" name="Picture 69"/>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828473" y="7913794"/>
              <a:ext cx="164592" cy="166974"/>
            </a:xfrm>
            <a:prstGeom prst="rect">
              <a:avLst/>
            </a:prstGeom>
          </xdr:spPr>
        </xdr:pic>
        <xdr:pic>
          <xdr:nvPicPr>
            <xdr:cNvPr id="77" name="Picture 7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828473" y="9395631"/>
              <a:ext cx="164592" cy="165368"/>
            </a:xfrm>
            <a:prstGeom prst="rect">
              <a:avLst/>
            </a:prstGeom>
          </xdr:spPr>
        </xdr:pic>
        <xdr:pic>
          <xdr:nvPicPr>
            <xdr:cNvPr id="78" name="Picture 77"/>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828473" y="8654713"/>
              <a:ext cx="164592" cy="165368"/>
            </a:xfrm>
            <a:prstGeom prst="rect">
              <a:avLst/>
            </a:prstGeom>
          </xdr:spPr>
        </xdr:pic>
        <xdr:pic>
          <xdr:nvPicPr>
            <xdr:cNvPr id="79" name="Picture 78"/>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828473" y="8838738"/>
              <a:ext cx="164592" cy="166974"/>
            </a:xfrm>
            <a:prstGeom prst="rect">
              <a:avLst/>
            </a:prstGeom>
          </xdr:spPr>
        </xdr:pic>
        <xdr:pic>
          <xdr:nvPicPr>
            <xdr:cNvPr id="80" name="Picture 79"/>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828473" y="8285056"/>
              <a:ext cx="164592" cy="165369"/>
            </a:xfrm>
            <a:prstGeom prst="rect">
              <a:avLst/>
            </a:prstGeom>
          </xdr:spPr>
        </xdr:pic>
        <xdr:pic>
          <xdr:nvPicPr>
            <xdr:cNvPr id="82" name="Picture 81"/>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828473" y="7728163"/>
              <a:ext cx="164592" cy="166974"/>
            </a:xfrm>
            <a:prstGeom prst="rect">
              <a:avLst/>
            </a:prstGeom>
          </xdr:spPr>
        </xdr:pic>
        <xdr:pic>
          <xdr:nvPicPr>
            <xdr:cNvPr id="83" name="Picture 82"/>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828473" y="9210000"/>
              <a:ext cx="164592" cy="166974"/>
            </a:xfrm>
            <a:prstGeom prst="rect">
              <a:avLst/>
            </a:prstGeom>
          </xdr:spPr>
        </xdr:pic>
        <xdr:pic>
          <xdr:nvPicPr>
            <xdr:cNvPr id="84" name="Picture 8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828473" y="8099425"/>
              <a:ext cx="164592" cy="166974"/>
            </a:xfrm>
            <a:prstGeom prst="rect">
              <a:avLst/>
            </a:prstGeom>
          </xdr:spPr>
        </xdr:pic>
        <xdr:pic>
          <xdr:nvPicPr>
            <xdr:cNvPr id="85" name="Picture 8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828473" y="9024369"/>
              <a:ext cx="164592" cy="166974"/>
            </a:xfrm>
            <a:prstGeom prst="rect">
              <a:avLst/>
            </a:prstGeom>
          </xdr:spPr>
        </xdr:pic>
        <xdr:pic>
          <xdr:nvPicPr>
            <xdr:cNvPr id="86" name="Picture 8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828473" y="8469082"/>
              <a:ext cx="164592" cy="166974"/>
            </a:xfrm>
            <a:prstGeom prst="rect">
              <a:avLst/>
            </a:prstGeom>
          </xdr:spPr>
        </xdr:pic>
        <xdr:pic>
          <xdr:nvPicPr>
            <xdr:cNvPr id="92" name="Picture 91"/>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828473" y="6803134"/>
              <a:ext cx="164592" cy="165369"/>
            </a:xfrm>
            <a:prstGeom prst="rect">
              <a:avLst/>
            </a:prstGeom>
          </xdr:spPr>
        </xdr:pic>
        <xdr:pic>
          <xdr:nvPicPr>
            <xdr:cNvPr id="93" name="Picture 92"/>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828473" y="7359568"/>
              <a:ext cx="164592" cy="165842"/>
            </a:xfrm>
            <a:prstGeom prst="rect">
              <a:avLst/>
            </a:prstGeom>
          </xdr:spPr>
        </xdr:pic>
        <xdr:pic>
          <xdr:nvPicPr>
            <xdr:cNvPr id="99" name="Picture 98"/>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828473" y="6987160"/>
              <a:ext cx="164592" cy="168054"/>
            </a:xfrm>
            <a:prstGeom prst="rect">
              <a:avLst/>
            </a:prstGeom>
          </xdr:spPr>
        </xdr:pic>
        <xdr:pic>
          <xdr:nvPicPr>
            <xdr:cNvPr id="139" name="Picture 13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28473" y="3845274"/>
              <a:ext cx="164592" cy="167041"/>
            </a:xfrm>
            <a:prstGeom prst="rect">
              <a:avLst/>
            </a:prstGeom>
          </xdr:spPr>
        </xdr:pic>
        <xdr:pic>
          <xdr:nvPicPr>
            <xdr:cNvPr id="141" name="Picture 14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28473" y="6065360"/>
              <a:ext cx="164592" cy="167040"/>
            </a:xfrm>
            <a:prstGeom prst="rect">
              <a:avLst/>
            </a:prstGeom>
          </xdr:spPr>
        </xdr:pic>
        <xdr:pic>
          <xdr:nvPicPr>
            <xdr:cNvPr id="143" name="Picture 142"/>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828473" y="7173871"/>
              <a:ext cx="164592" cy="167040"/>
            </a:xfrm>
            <a:prstGeom prst="rect">
              <a:avLst/>
            </a:prstGeom>
          </xdr:spPr>
        </xdr:pic>
        <xdr:pic>
          <xdr:nvPicPr>
            <xdr:cNvPr id="148" name="Picture 147"/>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28473" y="9579649"/>
              <a:ext cx="164592" cy="165757"/>
            </a:xfrm>
            <a:prstGeom prst="rect">
              <a:avLst/>
            </a:prstGeom>
          </xdr:spPr>
        </xdr:pic>
      </xdr:grpSp>
      <xdr:pic>
        <xdr:nvPicPr>
          <xdr:cNvPr id="149" name="Picture 14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833284" y="7615766"/>
            <a:ext cx="164592" cy="166978"/>
          </a:xfrm>
          <a:prstGeom prst="rect">
            <a:avLst/>
          </a:prstGeom>
        </xdr:spPr>
      </xdr:pic>
    </xdr:grpSp>
    <xdr:clientData/>
  </xdr:twoCellAnchor>
  <xdr:twoCellAnchor>
    <xdr:from>
      <xdr:col>6</xdr:col>
      <xdr:colOff>48601</xdr:colOff>
      <xdr:row>4</xdr:row>
      <xdr:rowOff>5796</xdr:rowOff>
    </xdr:from>
    <xdr:to>
      <xdr:col>6</xdr:col>
      <xdr:colOff>217701</xdr:colOff>
      <xdr:row>51</xdr:row>
      <xdr:rowOff>168049</xdr:rowOff>
    </xdr:to>
    <xdr:grpSp>
      <xdr:nvGrpSpPr>
        <xdr:cNvPr id="42" name="Group 41"/>
        <xdr:cNvGrpSpPr/>
      </xdr:nvGrpSpPr>
      <xdr:grpSpPr>
        <a:xfrm>
          <a:off x="3052151" y="894796"/>
          <a:ext cx="169100" cy="8817303"/>
          <a:chOff x="3058501" y="897027"/>
          <a:chExt cx="169100" cy="8918789"/>
        </a:xfrm>
      </xdr:grpSpPr>
      <xdr:grpSp>
        <xdr:nvGrpSpPr>
          <xdr:cNvPr id="68" name="Group 67"/>
          <xdr:cNvGrpSpPr/>
        </xdr:nvGrpSpPr>
        <xdr:grpSpPr>
          <a:xfrm>
            <a:off x="3058501" y="897027"/>
            <a:ext cx="167109" cy="8918789"/>
            <a:chOff x="3033101" y="901146"/>
            <a:chExt cx="167109" cy="8817303"/>
          </a:xfrm>
        </xdr:grpSpPr>
        <xdr:pic>
          <xdr:nvPicPr>
            <xdr:cNvPr id="3" name="Picture 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35618" y="3662327"/>
              <a:ext cx="164592" cy="166463"/>
            </a:xfrm>
            <a:prstGeom prst="rect">
              <a:avLst/>
            </a:prstGeom>
          </xdr:spPr>
        </xdr:pic>
        <xdr:pic>
          <xdr:nvPicPr>
            <xdr:cNvPr id="4" name="Picture 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035618" y="1638112"/>
              <a:ext cx="164592" cy="164862"/>
            </a:xfrm>
            <a:prstGeom prst="rect">
              <a:avLst/>
            </a:prstGeom>
          </xdr:spPr>
        </xdr:pic>
        <xdr:pic>
          <xdr:nvPicPr>
            <xdr:cNvPr id="10" name="Picture 9"/>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035618" y="1076249"/>
              <a:ext cx="164592" cy="168292"/>
            </a:xfrm>
            <a:prstGeom prst="rect">
              <a:avLst/>
            </a:prstGeom>
          </xdr:spPr>
        </xdr:pic>
        <xdr:pic>
          <xdr:nvPicPr>
            <xdr:cNvPr id="11" name="Picture 1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035618" y="3108874"/>
              <a:ext cx="164592" cy="166463"/>
            </a:xfrm>
            <a:prstGeom prst="rect">
              <a:avLst/>
            </a:prstGeom>
          </xdr:spPr>
        </xdr:pic>
        <xdr:pic>
          <xdr:nvPicPr>
            <xdr:cNvPr id="12" name="Picture 11"/>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035618" y="2742041"/>
              <a:ext cx="164592" cy="164862"/>
            </a:xfrm>
            <a:prstGeom prst="rect">
              <a:avLst/>
            </a:prstGeom>
          </xdr:spPr>
        </xdr:pic>
        <xdr:pic>
          <xdr:nvPicPr>
            <xdr:cNvPr id="13" name="Picture 12"/>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035618" y="2558625"/>
              <a:ext cx="164592" cy="164861"/>
            </a:xfrm>
            <a:prstGeom prst="rect">
              <a:avLst/>
            </a:prstGeom>
          </xdr:spPr>
        </xdr:pic>
        <xdr:pic>
          <xdr:nvPicPr>
            <xdr:cNvPr id="14" name="Picture 13"/>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035618" y="2925458"/>
              <a:ext cx="164592" cy="164861"/>
            </a:xfrm>
            <a:prstGeom prst="rect">
              <a:avLst/>
            </a:prstGeom>
          </xdr:spPr>
        </xdr:pic>
        <xdr:pic>
          <xdr:nvPicPr>
            <xdr:cNvPr id="16" name="Picture 15"/>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035618" y="2191792"/>
              <a:ext cx="164592" cy="164861"/>
            </a:xfrm>
            <a:prstGeom prst="rect">
              <a:avLst/>
            </a:prstGeom>
          </xdr:spPr>
        </xdr:pic>
        <xdr:pic>
          <xdr:nvPicPr>
            <xdr:cNvPr id="17" name="Picture 1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035618" y="3478910"/>
              <a:ext cx="164592" cy="164862"/>
            </a:xfrm>
            <a:prstGeom prst="rect">
              <a:avLst/>
            </a:prstGeom>
          </xdr:spPr>
        </xdr:pic>
        <xdr:pic>
          <xdr:nvPicPr>
            <xdr:cNvPr id="18" name="Picture 1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035618" y="2008376"/>
              <a:ext cx="164592" cy="164861"/>
            </a:xfrm>
            <a:prstGeom prst="rect">
              <a:avLst/>
            </a:prstGeom>
          </xdr:spPr>
        </xdr:pic>
        <xdr:pic>
          <xdr:nvPicPr>
            <xdr:cNvPr id="19" name="Picture 1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035618" y="3293892"/>
              <a:ext cx="164592" cy="166463"/>
            </a:xfrm>
            <a:prstGeom prst="rect">
              <a:avLst/>
            </a:prstGeom>
          </xdr:spPr>
        </xdr:pic>
        <xdr:pic>
          <xdr:nvPicPr>
            <xdr:cNvPr id="20" name="Picture 1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035618" y="2375208"/>
              <a:ext cx="164592" cy="164862"/>
            </a:xfrm>
            <a:prstGeom prst="rect">
              <a:avLst/>
            </a:prstGeom>
          </xdr:spPr>
        </xdr:pic>
        <xdr:pic>
          <xdr:nvPicPr>
            <xdr:cNvPr id="22" name="Picture 21"/>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035618" y="1821529"/>
              <a:ext cx="164592" cy="168292"/>
            </a:xfrm>
            <a:prstGeom prst="rect">
              <a:avLst/>
            </a:prstGeom>
          </xdr:spPr>
        </xdr:pic>
        <xdr:pic>
          <xdr:nvPicPr>
            <xdr:cNvPr id="26" name="Picture 2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035618" y="1265881"/>
              <a:ext cx="164592" cy="166463"/>
            </a:xfrm>
            <a:prstGeom prst="rect">
              <a:avLst/>
            </a:prstGeom>
          </xdr:spPr>
        </xdr:pic>
        <xdr:pic>
          <xdr:nvPicPr>
            <xdr:cNvPr id="27" name="Picture 26"/>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3035618" y="1450792"/>
              <a:ext cx="164592" cy="168765"/>
            </a:xfrm>
            <a:prstGeom prst="rect">
              <a:avLst/>
            </a:prstGeom>
          </xdr:spPr>
        </xdr:pic>
        <xdr:pic>
          <xdr:nvPicPr>
            <xdr:cNvPr id="33" name="Picture 3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3035618" y="901146"/>
              <a:ext cx="164592" cy="169141"/>
            </a:xfrm>
            <a:prstGeom prst="rect">
              <a:avLst/>
            </a:prstGeom>
          </xdr:spPr>
        </xdr:pic>
        <xdr:pic>
          <xdr:nvPicPr>
            <xdr:cNvPr id="36" name="Picture 35"/>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35618" y="6425862"/>
              <a:ext cx="164592" cy="166463"/>
            </a:xfrm>
            <a:prstGeom prst="rect">
              <a:avLst/>
            </a:prstGeom>
          </xdr:spPr>
        </xdr:pic>
        <xdr:pic>
          <xdr:nvPicPr>
            <xdr:cNvPr id="37" name="Picture 36"/>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035618" y="5138742"/>
              <a:ext cx="164592" cy="164862"/>
            </a:xfrm>
            <a:prstGeom prst="rect">
              <a:avLst/>
            </a:prstGeom>
          </xdr:spPr>
        </xdr:pic>
        <xdr:pic>
          <xdr:nvPicPr>
            <xdr:cNvPr id="40" name="Picture 3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5618" y="5322159"/>
              <a:ext cx="164592" cy="166463"/>
            </a:xfrm>
            <a:prstGeom prst="rect">
              <a:avLst/>
            </a:prstGeom>
          </xdr:spPr>
        </xdr:pic>
        <xdr:pic>
          <xdr:nvPicPr>
            <xdr:cNvPr id="41" name="Picture 4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35618" y="6242445"/>
              <a:ext cx="164592" cy="164862"/>
            </a:xfrm>
            <a:prstGeom prst="rect">
              <a:avLst/>
            </a:prstGeom>
          </xdr:spPr>
        </xdr:pic>
        <xdr:pic>
          <xdr:nvPicPr>
            <xdr:cNvPr id="43" name="Picture 42"/>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035618" y="4401874"/>
              <a:ext cx="164592" cy="164861"/>
            </a:xfrm>
            <a:prstGeom prst="rect">
              <a:avLst/>
            </a:prstGeom>
          </xdr:spPr>
        </xdr:pic>
        <xdr:pic>
          <xdr:nvPicPr>
            <xdr:cNvPr id="45" name="Picture 4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035618" y="5875612"/>
              <a:ext cx="164592" cy="164861"/>
            </a:xfrm>
            <a:prstGeom prst="rect">
              <a:avLst/>
            </a:prstGeom>
          </xdr:spPr>
        </xdr:pic>
        <xdr:pic>
          <xdr:nvPicPr>
            <xdr:cNvPr id="47" name="Picture 46"/>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035618" y="5507177"/>
              <a:ext cx="164592" cy="164862"/>
            </a:xfrm>
            <a:prstGeom prst="rect">
              <a:avLst/>
            </a:prstGeom>
          </xdr:spPr>
        </xdr:pic>
        <xdr:pic>
          <xdr:nvPicPr>
            <xdr:cNvPr id="48" name="Picture 4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35618" y="5690594"/>
              <a:ext cx="164592" cy="166463"/>
            </a:xfrm>
            <a:prstGeom prst="rect">
              <a:avLst/>
            </a:prstGeom>
          </xdr:spPr>
        </xdr:pic>
        <xdr:pic>
          <xdr:nvPicPr>
            <xdr:cNvPr id="49" name="Picture 48"/>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035618" y="4955326"/>
              <a:ext cx="164592" cy="164861"/>
            </a:xfrm>
            <a:prstGeom prst="rect">
              <a:avLst/>
            </a:prstGeom>
          </xdr:spPr>
        </xdr:pic>
        <xdr:pic>
          <xdr:nvPicPr>
            <xdr:cNvPr id="50" name="Picture 49"/>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035618" y="6610880"/>
              <a:ext cx="164592" cy="164861"/>
            </a:xfrm>
            <a:prstGeom prst="rect">
              <a:avLst/>
            </a:prstGeom>
          </xdr:spPr>
        </xdr:pic>
        <xdr:pic>
          <xdr:nvPicPr>
            <xdr:cNvPr id="57" name="Picture 5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035618" y="4585290"/>
              <a:ext cx="164592" cy="166463"/>
            </a:xfrm>
            <a:prstGeom prst="rect">
              <a:avLst/>
            </a:prstGeom>
          </xdr:spPr>
        </xdr:pic>
        <xdr:pic>
          <xdr:nvPicPr>
            <xdr:cNvPr id="58" name="Picture 5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35618" y="4770308"/>
              <a:ext cx="164592" cy="166463"/>
            </a:xfrm>
            <a:prstGeom prst="rect">
              <a:avLst/>
            </a:prstGeom>
          </xdr:spPr>
        </xdr:pic>
        <xdr:pic>
          <xdr:nvPicPr>
            <xdr:cNvPr id="63" name="Picture 6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035618" y="4216856"/>
              <a:ext cx="164592" cy="166463"/>
            </a:xfrm>
            <a:prstGeom prst="rect">
              <a:avLst/>
            </a:prstGeom>
          </xdr:spPr>
        </xdr:pic>
        <xdr:pic>
          <xdr:nvPicPr>
            <xdr:cNvPr id="66" name="Picture 65"/>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035618" y="4030762"/>
              <a:ext cx="164592" cy="167539"/>
            </a:xfrm>
            <a:prstGeom prst="rect">
              <a:avLst/>
            </a:prstGeom>
          </xdr:spPr>
        </xdr:pic>
        <xdr:pic>
          <xdr:nvPicPr>
            <xdr:cNvPr id="71" name="Picture 7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5618" y="8816682"/>
              <a:ext cx="164592" cy="166463"/>
            </a:xfrm>
            <a:prstGeom prst="rect">
              <a:avLst/>
            </a:prstGeom>
          </xdr:spPr>
        </xdr:pic>
        <xdr:pic>
          <xdr:nvPicPr>
            <xdr:cNvPr id="73" name="Picture 7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5618" y="8631664"/>
              <a:ext cx="164592" cy="166463"/>
            </a:xfrm>
            <a:prstGeom prst="rect">
              <a:avLst/>
            </a:prstGeom>
          </xdr:spPr>
        </xdr:pic>
        <xdr:pic>
          <xdr:nvPicPr>
            <xdr:cNvPr id="74" name="Picture 7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35618" y="9185117"/>
              <a:ext cx="164592" cy="164861"/>
            </a:xfrm>
            <a:prstGeom prst="rect">
              <a:avLst/>
            </a:prstGeom>
          </xdr:spPr>
        </xdr:pic>
        <xdr:pic>
          <xdr:nvPicPr>
            <xdr:cNvPr id="75" name="Picture 7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35618" y="7346148"/>
              <a:ext cx="164592" cy="166463"/>
            </a:xfrm>
            <a:prstGeom prst="rect">
              <a:avLst/>
            </a:prstGeom>
          </xdr:spPr>
        </xdr:pic>
        <xdr:pic>
          <xdr:nvPicPr>
            <xdr:cNvPr id="81" name="Picture 8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35618" y="8264831"/>
              <a:ext cx="164592" cy="164862"/>
            </a:xfrm>
            <a:prstGeom prst="rect">
              <a:avLst/>
            </a:prstGeom>
          </xdr:spPr>
        </xdr:pic>
        <xdr:pic>
          <xdr:nvPicPr>
            <xdr:cNvPr id="87" name="Picture 8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035618" y="8081415"/>
              <a:ext cx="164592" cy="164861"/>
            </a:xfrm>
            <a:prstGeom prst="rect">
              <a:avLst/>
            </a:prstGeom>
          </xdr:spPr>
        </xdr:pic>
        <xdr:pic>
          <xdr:nvPicPr>
            <xdr:cNvPr id="89" name="Picture 8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035618" y="9368533"/>
              <a:ext cx="164592" cy="166463"/>
            </a:xfrm>
            <a:prstGeom prst="rect">
              <a:avLst/>
            </a:prstGeom>
          </xdr:spPr>
        </xdr:pic>
        <xdr:pic>
          <xdr:nvPicPr>
            <xdr:cNvPr id="90" name="Picture 8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035618" y="7714582"/>
              <a:ext cx="164592" cy="164862"/>
            </a:xfrm>
            <a:prstGeom prst="rect">
              <a:avLst/>
            </a:prstGeom>
          </xdr:spPr>
        </xdr:pic>
        <xdr:pic>
          <xdr:nvPicPr>
            <xdr:cNvPr id="91" name="Picture 9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35618" y="7897999"/>
              <a:ext cx="164592" cy="164861"/>
            </a:xfrm>
            <a:prstGeom prst="rect">
              <a:avLst/>
            </a:prstGeom>
          </xdr:spPr>
        </xdr:pic>
        <xdr:pic>
          <xdr:nvPicPr>
            <xdr:cNvPr id="94" name="Picture 93"/>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035618" y="6794296"/>
              <a:ext cx="164592" cy="164862"/>
            </a:xfrm>
            <a:prstGeom prst="rect">
              <a:avLst/>
            </a:prstGeom>
          </xdr:spPr>
        </xdr:pic>
        <xdr:pic>
          <xdr:nvPicPr>
            <xdr:cNvPr id="96" name="Picture 9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035618" y="6977713"/>
              <a:ext cx="164592" cy="166463"/>
            </a:xfrm>
            <a:prstGeom prst="rect">
              <a:avLst/>
            </a:prstGeom>
          </xdr:spPr>
        </xdr:pic>
        <xdr:pic>
          <xdr:nvPicPr>
            <xdr:cNvPr id="97" name="Picture 9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035618" y="9001700"/>
              <a:ext cx="164592" cy="164862"/>
            </a:xfrm>
            <a:prstGeom prst="rect">
              <a:avLst/>
            </a:prstGeom>
          </xdr:spPr>
        </xdr:pic>
        <xdr:pic>
          <xdr:nvPicPr>
            <xdr:cNvPr id="98" name="Picture 9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035618" y="8448248"/>
              <a:ext cx="164592" cy="164861"/>
            </a:xfrm>
            <a:prstGeom prst="rect">
              <a:avLst/>
            </a:prstGeom>
          </xdr:spPr>
        </xdr:pic>
        <xdr:pic>
          <xdr:nvPicPr>
            <xdr:cNvPr id="140" name="Picture 139"/>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15374" t="4455" r="16113" b="4985"/>
            <a:stretch/>
          </xdr:blipFill>
          <xdr:spPr>
            <a:xfrm>
              <a:off x="3033101" y="3847345"/>
              <a:ext cx="167109" cy="164862"/>
            </a:xfrm>
            <a:prstGeom prst="rect">
              <a:avLst/>
            </a:prstGeom>
          </xdr:spPr>
        </xdr:pic>
        <xdr:pic>
          <xdr:nvPicPr>
            <xdr:cNvPr id="142" name="Picture 14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035618" y="6059028"/>
              <a:ext cx="164592" cy="164862"/>
            </a:xfrm>
            <a:prstGeom prst="rect">
              <a:avLst/>
            </a:prstGeom>
          </xdr:spPr>
        </xdr:pic>
        <xdr:pic>
          <xdr:nvPicPr>
            <xdr:cNvPr id="144" name="Picture 143"/>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15374" t="4455" r="16113" b="4985"/>
            <a:stretch/>
          </xdr:blipFill>
          <xdr:spPr>
            <a:xfrm>
              <a:off x="3033101" y="7162731"/>
              <a:ext cx="167109" cy="164862"/>
            </a:xfrm>
            <a:prstGeom prst="rect">
              <a:avLst/>
            </a:prstGeom>
          </xdr:spPr>
        </xdr:pic>
        <xdr:pic>
          <xdr:nvPicPr>
            <xdr:cNvPr id="147" name="Picture 14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035618" y="9553574"/>
              <a:ext cx="164592" cy="164875"/>
            </a:xfrm>
            <a:prstGeom prst="rect">
              <a:avLst/>
            </a:prstGeom>
          </xdr:spPr>
        </xdr:pic>
      </xdr:grpSp>
      <xdr:pic>
        <xdr:nvPicPr>
          <xdr:cNvPr id="150" name="Picture 14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060700" y="7611533"/>
            <a:ext cx="166901" cy="16493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38081</xdr:colOff>
      <xdr:row>6</xdr:row>
      <xdr:rowOff>12325</xdr:rowOff>
    </xdr:from>
    <xdr:to>
      <xdr:col>65</xdr:col>
      <xdr:colOff>205190</xdr:colOff>
      <xdr:row>37</xdr:row>
      <xdr:rowOff>179736</xdr:rowOff>
    </xdr:to>
    <xdr:grpSp>
      <xdr:nvGrpSpPr>
        <xdr:cNvPr id="42" name="Group 41"/>
        <xdr:cNvGrpSpPr/>
      </xdr:nvGrpSpPr>
      <xdr:grpSpPr>
        <a:xfrm>
          <a:off x="16211531" y="1117225"/>
          <a:ext cx="167109" cy="5977661"/>
          <a:chOff x="16331434" y="1110501"/>
          <a:chExt cx="167109" cy="5960853"/>
        </a:xfrm>
      </xdr:grpSpPr>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2692" y="5598639"/>
            <a:ext cx="164592" cy="164592"/>
          </a:xfrm>
          <a:prstGeom prst="rect">
            <a:avLst/>
          </a:prstGeom>
        </xdr:spPr>
      </xdr:pic>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32692" y="2608623"/>
            <a:ext cx="164592" cy="164592"/>
          </a:xfrm>
          <a:prstGeom prst="rect">
            <a:avLst/>
          </a:prstGeom>
        </xdr:spPr>
      </xdr:pic>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332692" y="4664259"/>
            <a:ext cx="164592" cy="164592"/>
          </a:xfrm>
          <a:prstGeom prst="rect">
            <a:avLst/>
          </a:prstGeom>
        </xdr:spPr>
      </xdr:pic>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32692" y="3916755"/>
            <a:ext cx="164592" cy="164592"/>
          </a:xfrm>
          <a:prstGeom prst="rect">
            <a:avLst/>
          </a:prstGeom>
        </xdr:spPr>
      </xdr:pic>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32692" y="4290507"/>
            <a:ext cx="164592" cy="164592"/>
          </a:xfrm>
          <a:prstGeom prst="rect">
            <a:avLst/>
          </a:prstGeom>
        </xdr:spPr>
      </xdr:pic>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32692" y="6906762"/>
            <a:ext cx="164592" cy="164592"/>
          </a:xfrm>
          <a:prstGeom prst="rect">
            <a:avLst/>
          </a:prstGeom>
        </xdr:spPr>
      </xdr:pic>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332692" y="2047528"/>
            <a:ext cx="164592" cy="164592"/>
          </a:xfrm>
          <a:prstGeom prst="rect">
            <a:avLst/>
          </a:prstGeom>
        </xdr:spPr>
      </xdr:pic>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332692" y="1860652"/>
            <a:ext cx="164592" cy="164592"/>
          </a:xfrm>
          <a:prstGeom prst="rect">
            <a:avLst/>
          </a:prstGeom>
        </xdr:spPr>
      </xdr:pic>
      <xdr:pic>
        <xdr:nvPicPr>
          <xdr:cNvPr id="11"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332692" y="5972391"/>
            <a:ext cx="164592" cy="164592"/>
          </a:xfrm>
          <a:prstGeom prst="rect">
            <a:avLst/>
          </a:prstGeom>
        </xdr:spPr>
      </xdr:pic>
      <xdr:pic>
        <xdr:nvPicPr>
          <xdr:cNvPr id="12" name="Picture 1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332692" y="4477383"/>
            <a:ext cx="164592" cy="164592"/>
          </a:xfrm>
          <a:prstGeom prst="rect">
            <a:avLst/>
          </a:prstGeom>
        </xdr:spPr>
      </xdr:pic>
      <xdr:pic>
        <xdr:nvPicPr>
          <xdr:cNvPr id="13" name="Picture 1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332692" y="4103631"/>
            <a:ext cx="164592" cy="164592"/>
          </a:xfrm>
          <a:prstGeom prst="rect">
            <a:avLst/>
          </a:prstGeom>
        </xdr:spPr>
      </xdr:pic>
      <xdr:pic>
        <xdr:nvPicPr>
          <xdr:cNvPr id="14" name="Picture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332692" y="5224887"/>
            <a:ext cx="164592" cy="164592"/>
          </a:xfrm>
          <a:prstGeom prst="rect">
            <a:avLst/>
          </a:prstGeom>
        </xdr:spPr>
      </xdr:pic>
      <xdr:pic>
        <xdr:nvPicPr>
          <xdr:cNvPr id="17" name="Picture 1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332692" y="5038011"/>
            <a:ext cx="164592" cy="164592"/>
          </a:xfrm>
          <a:prstGeom prst="rect">
            <a:avLst/>
          </a:prstGeom>
        </xdr:spPr>
      </xdr:pic>
      <xdr:pic>
        <xdr:nvPicPr>
          <xdr:cNvPr id="18" name="Picture 1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332692" y="3729879"/>
            <a:ext cx="164592" cy="164592"/>
          </a:xfrm>
          <a:prstGeom prst="rect">
            <a:avLst/>
          </a:prstGeom>
        </xdr:spPr>
      </xdr:pic>
      <xdr:pic>
        <xdr:nvPicPr>
          <xdr:cNvPr id="19" name="Picture 1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332692" y="6346143"/>
            <a:ext cx="164592" cy="164592"/>
          </a:xfrm>
          <a:prstGeom prst="rect">
            <a:avLst/>
          </a:prstGeom>
        </xdr:spPr>
      </xdr:pic>
      <xdr:pic>
        <xdr:nvPicPr>
          <xdr:cNvPr id="20" name="Picture 1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332692" y="2982375"/>
            <a:ext cx="164592" cy="164592"/>
          </a:xfrm>
          <a:prstGeom prst="rect">
            <a:avLst/>
          </a:prstGeom>
        </xdr:spPr>
      </xdr:pic>
      <xdr:pic>
        <xdr:nvPicPr>
          <xdr:cNvPr id="21" name="Picture 2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332692" y="6719895"/>
            <a:ext cx="164592" cy="164592"/>
          </a:xfrm>
          <a:prstGeom prst="rect">
            <a:avLst/>
          </a:prstGeom>
        </xdr:spPr>
      </xdr:pic>
      <xdr:pic>
        <xdr:nvPicPr>
          <xdr:cNvPr id="24" name="Picture 2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332692" y="4851135"/>
            <a:ext cx="164592" cy="164592"/>
          </a:xfrm>
          <a:prstGeom prst="rect">
            <a:avLst/>
          </a:prstGeom>
        </xdr:spPr>
      </xdr:pic>
      <xdr:pic>
        <xdr:nvPicPr>
          <xdr:cNvPr id="25" name="Picture 2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332692" y="2795499"/>
            <a:ext cx="164592" cy="164592"/>
          </a:xfrm>
          <a:prstGeom prst="rect">
            <a:avLst/>
          </a:prstGeom>
        </xdr:spPr>
      </xdr:pic>
      <xdr:pic>
        <xdr:nvPicPr>
          <xdr:cNvPr id="26" name="Picture 2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6332692" y="3356127"/>
            <a:ext cx="164592" cy="164592"/>
          </a:xfrm>
          <a:prstGeom prst="rect">
            <a:avLst/>
          </a:prstGeom>
        </xdr:spPr>
      </xdr:pic>
      <xdr:pic>
        <xdr:nvPicPr>
          <xdr:cNvPr id="28" name="Picture 2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6332692" y="5785515"/>
            <a:ext cx="164592" cy="164592"/>
          </a:xfrm>
          <a:prstGeom prst="rect">
            <a:avLst/>
          </a:prstGeom>
        </xdr:spPr>
      </xdr:pic>
      <xdr:pic>
        <xdr:nvPicPr>
          <xdr:cNvPr id="30" name="Picture 29"/>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6332692" y="3543003"/>
            <a:ext cx="164592" cy="164592"/>
          </a:xfrm>
          <a:prstGeom prst="rect">
            <a:avLst/>
          </a:prstGeom>
        </xdr:spPr>
      </xdr:pic>
      <xdr:pic>
        <xdr:nvPicPr>
          <xdr:cNvPr id="32" name="Picture 3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332692" y="3169251"/>
            <a:ext cx="164592" cy="164592"/>
          </a:xfrm>
          <a:prstGeom prst="rect">
            <a:avLst/>
          </a:prstGeom>
        </xdr:spPr>
      </xdr:pic>
      <xdr:pic>
        <xdr:nvPicPr>
          <xdr:cNvPr id="33" name="Picture 3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6332692" y="1110501"/>
            <a:ext cx="164592" cy="164592"/>
          </a:xfrm>
          <a:prstGeom prst="rect">
            <a:avLst/>
          </a:prstGeom>
        </xdr:spPr>
      </xdr:pic>
      <xdr:pic>
        <xdr:nvPicPr>
          <xdr:cNvPr id="34" name="Picture 33"/>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6332692" y="2234404"/>
            <a:ext cx="164592" cy="165059"/>
          </a:xfrm>
          <a:prstGeom prst="rect">
            <a:avLst/>
          </a:prstGeom>
        </xdr:spPr>
      </xdr:pic>
      <xdr:pic>
        <xdr:nvPicPr>
          <xdr:cNvPr id="35" name="Picture 34"/>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332692" y="1673776"/>
            <a:ext cx="164592" cy="164592"/>
          </a:xfrm>
          <a:prstGeom prst="rect">
            <a:avLst/>
          </a:prstGeom>
        </xdr:spPr>
      </xdr:pic>
      <xdr:pic>
        <xdr:nvPicPr>
          <xdr:cNvPr id="36" name="Picture 35"/>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6332692" y="6159267"/>
            <a:ext cx="164592" cy="164592"/>
          </a:xfrm>
          <a:prstGeom prst="rect">
            <a:avLst/>
          </a:prstGeom>
        </xdr:spPr>
      </xdr:pic>
      <xdr:pic>
        <xdr:nvPicPr>
          <xdr:cNvPr id="37" name="Picture 36"/>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6332692" y="1297377"/>
            <a:ext cx="164592" cy="164592"/>
          </a:xfrm>
          <a:prstGeom prst="rect">
            <a:avLst/>
          </a:prstGeom>
        </xdr:spPr>
      </xdr:pic>
      <xdr:pic>
        <xdr:nvPicPr>
          <xdr:cNvPr id="38" name="Picture 37"/>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332692" y="6533019"/>
            <a:ext cx="164592" cy="164592"/>
          </a:xfrm>
          <a:prstGeom prst="rect">
            <a:avLst/>
          </a:prstGeom>
        </xdr:spPr>
      </xdr:pic>
      <xdr:pic>
        <xdr:nvPicPr>
          <xdr:cNvPr id="39" name="Picture 38"/>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6332692" y="5411763"/>
            <a:ext cx="164592" cy="164592"/>
          </a:xfrm>
          <a:prstGeom prst="rect">
            <a:avLst/>
          </a:prstGeom>
        </xdr:spPr>
      </xdr:pic>
      <xdr:pic>
        <xdr:nvPicPr>
          <xdr:cNvPr id="40" name="Picture 3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6332692" y="1484253"/>
            <a:ext cx="164592" cy="167239"/>
          </a:xfrm>
          <a:prstGeom prst="rect">
            <a:avLst/>
          </a:prstGeom>
        </xdr:spPr>
      </xdr:pic>
      <xdr:pic>
        <xdr:nvPicPr>
          <xdr:cNvPr id="41" name="Picture 40"/>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15374" t="4455" r="16113" b="4985"/>
          <a:stretch/>
        </xdr:blipFill>
        <xdr:spPr>
          <a:xfrm>
            <a:off x="16331434" y="2421747"/>
            <a:ext cx="167109" cy="16459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2</xdr:row>
      <xdr:rowOff>38100</xdr:rowOff>
    </xdr:from>
    <xdr:to>
      <xdr:col>17</xdr:col>
      <xdr:colOff>215900</xdr:colOff>
      <xdr:row>78</xdr:row>
      <xdr:rowOff>38100</xdr:rowOff>
    </xdr:to>
    <xdr:sp macro="" textlink="">
      <xdr:nvSpPr>
        <xdr:cNvPr id="2" name="TextBox 1"/>
        <xdr:cNvSpPr txBox="1"/>
      </xdr:nvSpPr>
      <xdr:spPr>
        <a:xfrm>
          <a:off x="190500" y="558800"/>
          <a:ext cx="9893300" cy="1207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SINGLE-USER LICENSE AGREEMENT FOR JOURNALSHEET.COM SPREADSHEET </a:t>
          </a:r>
          <a:endParaRPr lang="en-US" sz="1800">
            <a:effectLst/>
          </a:endParaRPr>
        </a:p>
        <a:p>
          <a:r>
            <a:rPr lang="en-US" sz="1800" b="1">
              <a:solidFill>
                <a:schemeClr val="dk1"/>
              </a:solidFill>
              <a:effectLst/>
              <a:latin typeface="+mn-lt"/>
              <a:ea typeface="+mn-ea"/>
              <a:cs typeface="+mn-cs"/>
            </a:rPr>
            <a:t/>
          </a:r>
          <a:br>
            <a:rPr lang="en-US" sz="1800" b="1">
              <a:solidFill>
                <a:schemeClr val="dk1"/>
              </a:solidFill>
              <a:effectLst/>
              <a:latin typeface="+mn-lt"/>
              <a:ea typeface="+mn-ea"/>
              <a:cs typeface="+mn-cs"/>
            </a:rPr>
          </a:br>
          <a:r>
            <a:rPr lang="en-US" sz="1800" b="1">
              <a:solidFill>
                <a:schemeClr val="dk1"/>
              </a:solidFill>
              <a:effectLst/>
              <a:latin typeface="+mn-lt"/>
              <a:ea typeface="+mn-ea"/>
              <a:cs typeface="+mn-cs"/>
            </a:rPr>
            <a:t>IMPORTANT </a:t>
          </a:r>
          <a:endParaRPr lang="en-US" sz="1800">
            <a:effectLst/>
          </a:endParaRPr>
        </a:p>
        <a:p>
          <a:r>
            <a:rPr lang="en-US" sz="1400" b="1">
              <a:solidFill>
                <a:schemeClr val="dk1"/>
              </a:solidFill>
              <a:effectLst/>
              <a:latin typeface="+mn-lt"/>
              <a:ea typeface="+mn-ea"/>
              <a:cs typeface="+mn-cs"/>
            </a:rPr>
            <a:t/>
          </a:r>
          <a:br>
            <a:rPr lang="en-US" sz="1400" b="1">
              <a:solidFill>
                <a:schemeClr val="dk1"/>
              </a:solidFill>
              <a:effectLst/>
              <a:latin typeface="+mn-lt"/>
              <a:ea typeface="+mn-ea"/>
              <a:cs typeface="+mn-cs"/>
            </a:rPr>
          </a:br>
          <a:r>
            <a:rPr lang="en-US" sz="1400" b="1">
              <a:solidFill>
                <a:schemeClr val="dk1"/>
              </a:solidFill>
              <a:effectLst/>
              <a:latin typeface="+mn-lt"/>
              <a:ea typeface="+mn-ea"/>
              <a:cs typeface="+mn-cs"/>
            </a:rPr>
            <a:t>PLEASE READ THE TERMS AND CONDITIONS OF THIS LICENSE AGREEMENT CAREFULLY BEFORE USING THIS SOFTWARE</a:t>
          </a:r>
          <a:endParaRPr lang="en-US" sz="1400">
            <a:effectLst/>
          </a:endParaRPr>
        </a:p>
        <a:p>
          <a:r>
            <a:rPr lang="en-US" sz="1100">
              <a:solidFill>
                <a:schemeClr val="dk1"/>
              </a:solidFill>
              <a:effectLst/>
              <a:latin typeface="+mn-lt"/>
              <a:ea typeface="+mn-ea"/>
              <a:cs typeface="+mn-cs"/>
            </a:rPr>
            <a:t>This is a legal agreement between you (either an individual or a single entity) and JOURNALSHEET.COM for the JOURNALSHEET.COM SPREADSHEET identified above which may include associated software components, media, printed materials, and "online" or electronic documentation ("JOURNALSHEET.COM SPREADSHEET "). By installing, copying, or otherwise using the JOURNALSHEET.COM SPREADSHEET, you agree to be bound by the terms of this agreement. This license agreement represents the entire agreement concerning the program between you and JOURNALSHEET.COM, (referred to as "licenser"), and it supersedes any prior proposal, representation, or understanding between the parties. If you do not agree to the terms of this agreement, do not install or use the JOURNALSHEET.COM SPREADSHEET.</a:t>
          </a:r>
          <a:endParaRPr lang="en-US">
            <a:effectLst/>
          </a:endParaRPr>
        </a:p>
        <a:p>
          <a:r>
            <a:rPr lang="en-US" sz="1100">
              <a:solidFill>
                <a:schemeClr val="dk1"/>
              </a:solidFill>
              <a:effectLst/>
              <a:latin typeface="+mn-lt"/>
              <a:ea typeface="+mn-ea"/>
              <a:cs typeface="+mn-cs"/>
            </a:rPr>
            <a:t>The JOURNALSHEET.COM SPREADSHEET is protected by copyright laws and international copyright treaties, as well as other intellectual property laws and treaties. The JOURNALSHEET.COM SPREADSHEET is licensed, not sold.</a:t>
          </a:r>
        </a:p>
        <a:p>
          <a:endParaRPr lang="en-US">
            <a:effectLst/>
          </a:endParaRPr>
        </a:p>
        <a:p>
          <a:r>
            <a:rPr lang="en-US" sz="1100" b="1">
              <a:solidFill>
                <a:schemeClr val="dk1"/>
              </a:solidFill>
              <a:effectLst/>
              <a:latin typeface="+mn-lt"/>
              <a:ea typeface="+mn-ea"/>
              <a:cs typeface="+mn-cs"/>
            </a:rPr>
            <a:t>1. GRANT OF LICENSE TO MULTI-USER.</a:t>
          </a:r>
          <a:endParaRPr lang="en-US">
            <a:effectLst/>
          </a:endParaRPr>
        </a:p>
        <a:p>
          <a:r>
            <a:rPr lang="en-US" sz="1100">
              <a:solidFill>
                <a:schemeClr val="dk1"/>
              </a:solidFill>
              <a:effectLst/>
              <a:latin typeface="+mn-lt"/>
              <a:ea typeface="+mn-ea"/>
              <a:cs typeface="+mn-cs"/>
            </a:rPr>
            <a:t>The JOURNALSHEET.COM SPREADSHEET is licensed as follows:</a:t>
          </a:r>
          <a:endParaRPr lang="en-US">
            <a:effectLst/>
          </a:endParaRPr>
        </a:p>
        <a:p>
          <a:r>
            <a:rPr lang="en-US" sz="1100">
              <a:solidFill>
                <a:schemeClr val="dk1"/>
              </a:solidFill>
              <a:effectLst/>
              <a:latin typeface="+mn-lt"/>
              <a:ea typeface="+mn-ea"/>
              <a:cs typeface="+mn-cs"/>
            </a:rPr>
            <a:t>(a) Installation and Use.</a:t>
          </a:r>
          <a:endParaRPr lang="en-US">
            <a:effectLst/>
          </a:endParaRPr>
        </a:p>
        <a:p>
          <a:r>
            <a:rPr lang="en-US" sz="1100">
              <a:solidFill>
                <a:schemeClr val="dk1"/>
              </a:solidFill>
              <a:effectLst/>
              <a:latin typeface="+mn-lt"/>
              <a:ea typeface="+mn-ea"/>
              <a:cs typeface="+mn-cs"/>
            </a:rPr>
            <a:t>JOURNALSHEET.COM grants you the right to install and use copies of the JOURNALSHEET.COM SPREADSHEET on computers within one particular specified location or on a network at a single site (e.g. office) and your running validly licensed copies of the office suite [Microsoft Excel 2007</a:t>
          </a:r>
          <a:r>
            <a:rPr lang="en-US" sz="1100" baseline="0">
              <a:solidFill>
                <a:schemeClr val="dk1"/>
              </a:solidFill>
              <a:effectLst/>
              <a:latin typeface="+mn-lt"/>
              <a:ea typeface="+mn-ea"/>
              <a:cs typeface="+mn-cs"/>
            </a:rPr>
            <a:t> - 2019</a:t>
          </a:r>
          <a:r>
            <a:rPr lang="en-US" sz="1100">
              <a:solidFill>
                <a:schemeClr val="dk1"/>
              </a:solidFill>
              <a:effectLst/>
              <a:latin typeface="+mn-lt"/>
              <a:ea typeface="+mn-ea"/>
              <a:cs typeface="+mn-cs"/>
            </a:rPr>
            <a:t>) and Windows Operating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[Windows NT, Windows 2003, Windows XP, Windows Vista, Windows 7, Windows 8, Windows 10 ] and</a:t>
          </a:r>
          <a:r>
            <a:rPr lang="en-US" sz="1100" baseline="0">
              <a:solidFill>
                <a:schemeClr val="dk1"/>
              </a:solidFill>
              <a:effectLst/>
              <a:latin typeface="+mn-lt"/>
              <a:ea typeface="+mn-ea"/>
              <a:cs typeface="+mn-cs"/>
            </a:rPr>
            <a:t> Mac Operating System </a:t>
          </a:r>
          <a:r>
            <a:rPr lang="en-US" sz="1100">
              <a:solidFill>
                <a:schemeClr val="dk1"/>
              </a:solidFill>
              <a:effectLst/>
              <a:latin typeface="+mn-lt"/>
              <a:ea typeface="+mn-ea"/>
              <a:cs typeface="+mn-cs"/>
            </a:rPr>
            <a:t>for which the JOURNALSHEET.COM SPREADSHEET was designed.</a:t>
          </a:r>
          <a:endParaRPr lang="en-US">
            <a:effectLst/>
          </a:endParaRPr>
        </a:p>
        <a:p>
          <a:r>
            <a:rPr lang="en-US" sz="1100">
              <a:solidFill>
                <a:schemeClr val="dk1"/>
              </a:solidFill>
              <a:effectLst/>
              <a:latin typeface="+mn-lt"/>
              <a:ea typeface="+mn-ea"/>
              <a:cs typeface="+mn-cs"/>
            </a:rPr>
            <a:t>(b) Backup Copies.</a:t>
          </a:r>
          <a:endParaRPr lang="en-US">
            <a:effectLst/>
          </a:endParaRPr>
        </a:p>
        <a:p>
          <a:r>
            <a:rPr lang="en-US" sz="1100">
              <a:solidFill>
                <a:schemeClr val="dk1"/>
              </a:solidFill>
              <a:effectLst/>
              <a:latin typeface="+mn-lt"/>
              <a:ea typeface="+mn-ea"/>
              <a:cs typeface="+mn-cs"/>
            </a:rPr>
            <a:t>You may also make copies of the JOURNALSHEET.COM SPREADSHEET as may be necessary for backup and archival purposes.</a:t>
          </a:r>
        </a:p>
        <a:p>
          <a:endParaRPr lang="en-US">
            <a:effectLst/>
          </a:endParaRPr>
        </a:p>
        <a:p>
          <a:r>
            <a:rPr lang="en-US" sz="1100" b="1">
              <a:solidFill>
                <a:schemeClr val="dk1"/>
              </a:solidFill>
              <a:effectLst/>
              <a:latin typeface="+mn-lt"/>
              <a:ea typeface="+mn-ea"/>
              <a:cs typeface="+mn-cs"/>
            </a:rPr>
            <a:t>2. DESCRIPTION OF OTHER RIGHTS AND LIMITATIONS.</a:t>
          </a:r>
          <a:endParaRPr lang="en-US">
            <a:effectLst/>
          </a:endParaRPr>
        </a:p>
        <a:p>
          <a:r>
            <a:rPr lang="en-US" sz="1100">
              <a:solidFill>
                <a:schemeClr val="dk1"/>
              </a:solidFill>
              <a:effectLst/>
              <a:latin typeface="+mn-lt"/>
              <a:ea typeface="+mn-ea"/>
              <a:cs typeface="+mn-cs"/>
            </a:rPr>
            <a:t>(a) Maintenance of Copyright Notices.</a:t>
          </a:r>
          <a:endParaRPr lang="en-US">
            <a:effectLst/>
          </a:endParaRPr>
        </a:p>
        <a:p>
          <a:r>
            <a:rPr lang="en-US" sz="1100">
              <a:solidFill>
                <a:schemeClr val="dk1"/>
              </a:solidFill>
              <a:effectLst/>
              <a:latin typeface="+mn-lt"/>
              <a:ea typeface="+mn-ea"/>
              <a:cs typeface="+mn-cs"/>
            </a:rPr>
            <a:t>You must not remove or alter any copyright notices on any and all copies of the JOURNALSHEET.COM SPREADSHEET.</a:t>
          </a:r>
          <a:endParaRPr lang="en-US">
            <a:effectLst/>
          </a:endParaRPr>
        </a:p>
        <a:p>
          <a:r>
            <a:rPr lang="en-US" sz="1100">
              <a:solidFill>
                <a:schemeClr val="dk1"/>
              </a:solidFill>
              <a:effectLst/>
              <a:latin typeface="+mn-lt"/>
              <a:ea typeface="+mn-ea"/>
              <a:cs typeface="+mn-cs"/>
            </a:rPr>
            <a:t>(b) Distribution.</a:t>
          </a:r>
          <a:endParaRPr lang="en-US">
            <a:effectLst/>
          </a:endParaRPr>
        </a:p>
        <a:p>
          <a:r>
            <a:rPr lang="en-US" sz="1100">
              <a:solidFill>
                <a:schemeClr val="dk1"/>
              </a:solidFill>
              <a:effectLst/>
              <a:latin typeface="+mn-lt"/>
              <a:ea typeface="+mn-ea"/>
              <a:cs typeface="+mn-cs"/>
            </a:rPr>
            <a:t>You may not distribute registered copies of the JOURNALSHEET.COM SPREADSHEET to third parties. Evaluation versions available for download from JOURNALSHEET.COM's websites may be freely distributed.</a:t>
          </a:r>
          <a:endParaRPr lang="en-US">
            <a:effectLst/>
          </a:endParaRPr>
        </a:p>
        <a:p>
          <a:r>
            <a:rPr lang="en-US" sz="1100">
              <a:solidFill>
                <a:schemeClr val="dk1"/>
              </a:solidFill>
              <a:effectLst/>
              <a:latin typeface="+mn-lt"/>
              <a:ea typeface="+mn-ea"/>
              <a:cs typeface="+mn-cs"/>
            </a:rPr>
            <a:t>(c) Prohibition on Reverse Engineering, Decompilation, and Disassembly.</a:t>
          </a:r>
          <a:endParaRPr lang="en-US">
            <a:effectLst/>
          </a:endParaRPr>
        </a:p>
        <a:p>
          <a:r>
            <a:rPr lang="en-US" sz="1100">
              <a:solidFill>
                <a:schemeClr val="dk1"/>
              </a:solidFill>
              <a:effectLst/>
              <a:latin typeface="+mn-lt"/>
              <a:ea typeface="+mn-ea"/>
              <a:cs typeface="+mn-cs"/>
            </a:rPr>
            <a:t>You may not reverse engineer, decompile, or disassemble the JOURNALSHEET.COM SPREADSHEET, except and only to the extent that such activity is expressly permitted by applicable law notwithstanding this limitation.</a:t>
          </a:r>
          <a:endParaRPr lang="en-US">
            <a:effectLst/>
          </a:endParaRPr>
        </a:p>
        <a:p>
          <a:r>
            <a:rPr lang="en-US" sz="1100">
              <a:solidFill>
                <a:schemeClr val="dk1"/>
              </a:solidFill>
              <a:effectLst/>
              <a:latin typeface="+mn-lt"/>
              <a:ea typeface="+mn-ea"/>
              <a:cs typeface="+mn-cs"/>
            </a:rPr>
            <a:t>(d) Rental.</a:t>
          </a:r>
          <a:endParaRPr lang="en-US">
            <a:effectLst/>
          </a:endParaRPr>
        </a:p>
        <a:p>
          <a:r>
            <a:rPr lang="en-US" sz="1100">
              <a:solidFill>
                <a:schemeClr val="dk1"/>
              </a:solidFill>
              <a:effectLst/>
              <a:latin typeface="+mn-lt"/>
              <a:ea typeface="+mn-ea"/>
              <a:cs typeface="+mn-cs"/>
            </a:rPr>
            <a:t>You may not rent, lease, or lend the JOURNALSHEET.COM SPREADSHEET.</a:t>
          </a:r>
          <a:endParaRPr lang="en-US">
            <a:effectLst/>
          </a:endParaRPr>
        </a:p>
        <a:p>
          <a:r>
            <a:rPr lang="en-US" sz="1100">
              <a:solidFill>
                <a:schemeClr val="dk1"/>
              </a:solidFill>
              <a:effectLst/>
              <a:latin typeface="+mn-lt"/>
              <a:ea typeface="+mn-ea"/>
              <a:cs typeface="+mn-cs"/>
            </a:rPr>
            <a:t>(e) Support Services.</a:t>
          </a:r>
          <a:endParaRPr lang="en-US">
            <a:effectLst/>
          </a:endParaRPr>
        </a:p>
        <a:p>
          <a:r>
            <a:rPr lang="en-US" sz="1100">
              <a:solidFill>
                <a:schemeClr val="dk1"/>
              </a:solidFill>
              <a:effectLst/>
              <a:latin typeface="+mn-lt"/>
              <a:ea typeface="+mn-ea"/>
              <a:cs typeface="+mn-cs"/>
            </a:rPr>
            <a:t>JOURNALSHEET.COM may provide you with support services related to the JOURNALSHEET.COM SPREADSHEET ("Support Services"). Any supplemental software code provided to you as part of the Support Services shall be considered part of the JOURNALSHEET.COM SPREADSHEET and subject to the terms and conditions of this agreement.</a:t>
          </a:r>
          <a:endParaRPr lang="en-US">
            <a:effectLst/>
          </a:endParaRPr>
        </a:p>
        <a:p>
          <a:r>
            <a:rPr lang="en-US" sz="1100">
              <a:solidFill>
                <a:schemeClr val="dk1"/>
              </a:solidFill>
              <a:effectLst/>
              <a:latin typeface="+mn-lt"/>
              <a:ea typeface="+mn-ea"/>
              <a:cs typeface="+mn-cs"/>
            </a:rPr>
            <a:t>(f) Compliance with Applicable Laws.</a:t>
          </a:r>
          <a:endParaRPr lang="en-US">
            <a:effectLst/>
          </a:endParaRPr>
        </a:p>
        <a:p>
          <a:r>
            <a:rPr lang="en-US" sz="1100">
              <a:solidFill>
                <a:schemeClr val="dk1"/>
              </a:solidFill>
              <a:effectLst/>
              <a:latin typeface="+mn-lt"/>
              <a:ea typeface="+mn-ea"/>
              <a:cs typeface="+mn-cs"/>
            </a:rPr>
            <a:t>You must comply with all applicable laws regarding use of the JOURNALSHEET.COM SPREADSHEET.</a:t>
          </a:r>
        </a:p>
        <a:p>
          <a:endParaRPr lang="en-US">
            <a:effectLst/>
          </a:endParaRPr>
        </a:p>
        <a:p>
          <a:r>
            <a:rPr lang="en-US" sz="1100" b="1">
              <a:solidFill>
                <a:schemeClr val="dk1"/>
              </a:solidFill>
              <a:effectLst/>
              <a:latin typeface="+mn-lt"/>
              <a:ea typeface="+mn-ea"/>
              <a:cs typeface="+mn-cs"/>
            </a:rPr>
            <a:t>3. TERMINATION</a:t>
          </a:r>
          <a:endParaRPr lang="en-US">
            <a:effectLst/>
          </a:endParaRPr>
        </a:p>
        <a:p>
          <a:r>
            <a:rPr lang="en-US" sz="1100">
              <a:solidFill>
                <a:schemeClr val="dk1"/>
              </a:solidFill>
              <a:effectLst/>
              <a:latin typeface="+mn-lt"/>
              <a:ea typeface="+mn-ea"/>
              <a:cs typeface="+mn-cs"/>
            </a:rPr>
            <a:t>Without prejudice to any other rights, JOURNALSHEET.COM may terminate this agreement if you fail to comply with the terms and conditions of this agreement. In such event, you must destroy all copies of the JOURNALSHEET.COM SPREADSHEET in your possession.</a:t>
          </a:r>
        </a:p>
        <a:p>
          <a:endParaRPr lang="en-US">
            <a:effectLst/>
          </a:endParaRPr>
        </a:p>
        <a:p>
          <a:r>
            <a:rPr lang="en-US" sz="1100" b="1">
              <a:solidFill>
                <a:schemeClr val="dk1"/>
              </a:solidFill>
              <a:effectLst/>
              <a:latin typeface="+mn-lt"/>
              <a:ea typeface="+mn-ea"/>
              <a:cs typeface="+mn-cs"/>
            </a:rPr>
            <a:t>4. COPYRIGHT</a:t>
          </a:r>
          <a:endParaRPr lang="en-US">
            <a:effectLst/>
          </a:endParaRPr>
        </a:p>
        <a:p>
          <a:r>
            <a:rPr lang="en-US" sz="1100">
              <a:solidFill>
                <a:schemeClr val="dk1"/>
              </a:solidFill>
              <a:effectLst/>
              <a:latin typeface="+mn-lt"/>
              <a:ea typeface="+mn-ea"/>
              <a:cs typeface="+mn-cs"/>
            </a:rPr>
            <a:t>All title, including but not limited to copyrights, in and to the JOURNALSHEET.COM SPREADSHEET and any copies thereof are owned by JOURNALSHEET.COM or its suppliers. All title and intellectual property rights in and to the content which may be accessed through use of the JOURNALSHEET.COM SPREADSHEET is the property of the respective content owner and may be protected by applicable copyright or other intellectual property laws and treaties. This agreement grants you no rights to use such content. All rights not expressly granted are reserved by JOURNALSHEET.COM.</a:t>
          </a:r>
        </a:p>
        <a:p>
          <a:endParaRPr lang="en-US">
            <a:effectLst/>
          </a:endParaRPr>
        </a:p>
        <a:p>
          <a:r>
            <a:rPr lang="en-US" sz="1100" b="1">
              <a:solidFill>
                <a:schemeClr val="dk1"/>
              </a:solidFill>
              <a:effectLst/>
              <a:latin typeface="+mn-lt"/>
              <a:ea typeface="+mn-ea"/>
              <a:cs typeface="+mn-cs"/>
            </a:rPr>
            <a:t>5. NO WARRANTIES</a:t>
          </a:r>
          <a:endParaRPr lang="en-US">
            <a:effectLst/>
          </a:endParaRPr>
        </a:p>
        <a:p>
          <a:r>
            <a:rPr lang="en-US" sz="1100">
              <a:solidFill>
                <a:schemeClr val="dk1"/>
              </a:solidFill>
              <a:effectLst/>
              <a:latin typeface="+mn-lt"/>
              <a:ea typeface="+mn-ea"/>
              <a:cs typeface="+mn-cs"/>
            </a:rPr>
            <a:t>JOURNALSHEET.COM expressly disclaims any warranty for the JOURNALSHEET.COM SPREADSHEET. The JOURNALSHEET.COM SPREADSHEET is provided 'As Is' without any express or implied warranty of any kind, including but not limited to any warranties of merchantability, noninfringement, or fitness of a particular purpose. JOURNALSHEET.COM does not warrant or assume responsibility for the accuracy or completeness of any information, text, graphics, links or other items contained within the JOURNALSHEET.COM SPREADSHEET. JOURNALSHEET.COM makes no warranties respecting any harm that may be caused by the transmission of a computer virus, worm, time bomb, logic bomb, or other such computer program. JOURNALSHEET.COM further expressly disclaims any warranty or representation to Authorized Users or to any third party.</a:t>
          </a:r>
        </a:p>
        <a:p>
          <a:endParaRPr lang="en-US">
            <a:effectLst/>
          </a:endParaRPr>
        </a:p>
        <a:p>
          <a:r>
            <a:rPr lang="en-US" sz="1100" b="1">
              <a:solidFill>
                <a:schemeClr val="dk1"/>
              </a:solidFill>
              <a:effectLst/>
              <a:latin typeface="+mn-lt"/>
              <a:ea typeface="+mn-ea"/>
              <a:cs typeface="+mn-cs"/>
            </a:rPr>
            <a:t>6. LIMITATION OF LIABILITY</a:t>
          </a:r>
          <a:endParaRPr lang="en-US">
            <a:effectLst/>
          </a:endParaRPr>
        </a:p>
        <a:p>
          <a:r>
            <a:rPr lang="en-US" sz="1100">
              <a:solidFill>
                <a:schemeClr val="dk1"/>
              </a:solidFill>
              <a:effectLst/>
              <a:latin typeface="+mn-lt"/>
              <a:ea typeface="+mn-ea"/>
              <a:cs typeface="+mn-cs"/>
            </a:rPr>
            <a:t>In no event shall JOURNALSHEET.COM be liable for any damages (including, without limitation, lost profits, business interruption, or lost information) rising out of 'Authorized Users' use of or inability to use the JOURNALSHEET.COM SPREADSHEET, even if JOURNALSHEET.COM has been advised of the possibility of such damages. In no event will JOURNALSHEET.COM be liable for loss of data or for indirect, special, incidental, consequential (including lost profit), or other damages based in contract, tort or otherwise. JOURNALSHEET.COM shall have no liability with respect to the content of the JOURNALSHEET.COM SPREADSHEET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279400</xdr:colOff>
      <xdr:row>4</xdr:row>
      <xdr:rowOff>0</xdr:rowOff>
    </xdr:from>
    <xdr:to>
      <xdr:col>11</xdr:col>
      <xdr:colOff>468889</xdr:colOff>
      <xdr:row>9</xdr:row>
      <xdr:rowOff>12700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27900" y="774700"/>
          <a:ext cx="2373889" cy="1136650"/>
        </a:xfrm>
        <a:prstGeom prst="rect">
          <a:avLst/>
        </a:prstGeom>
      </xdr:spPr>
    </xdr:pic>
    <xdr:clientData/>
  </xdr:twoCellAnchor>
  <xdr:twoCellAnchor>
    <xdr:from>
      <xdr:col>12</xdr:col>
      <xdr:colOff>127000</xdr:colOff>
      <xdr:row>2</xdr:row>
      <xdr:rowOff>57150</xdr:rowOff>
    </xdr:from>
    <xdr:to>
      <xdr:col>22</xdr:col>
      <xdr:colOff>177800</xdr:colOff>
      <xdr:row>13</xdr:row>
      <xdr:rowOff>19050</xdr:rowOff>
    </xdr:to>
    <xdr:sp macro="" textlink="">
      <xdr:nvSpPr>
        <xdr:cNvPr id="3" name="TextBox 2"/>
        <xdr:cNvSpPr txBox="1"/>
      </xdr:nvSpPr>
      <xdr:spPr>
        <a:xfrm>
          <a:off x="8680450" y="577850"/>
          <a:ext cx="6146800" cy="21018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Click on BUY NOW button </a:t>
          </a:r>
          <a:r>
            <a:rPr lang="en-US" sz="1100">
              <a:solidFill>
                <a:schemeClr val="dk1"/>
              </a:solidFill>
              <a:effectLst/>
              <a:latin typeface="+mn-lt"/>
              <a:ea typeface="+mn-ea"/>
              <a:cs typeface="+mn-cs"/>
            </a:rPr>
            <a:t>to bring you to paypal website. You don't need to open a paypal account. You can pay with or without paypal account using paypal balance or credit card.</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After successful transaction</a:t>
          </a:r>
          <a:r>
            <a:rPr lang="en-US" sz="1100" b="1">
              <a:solidFill>
                <a:schemeClr val="dk1"/>
              </a:solidFill>
              <a:effectLst/>
              <a:latin typeface="+mn-lt"/>
              <a:ea typeface="+mn-ea"/>
              <a:cs typeface="+mn-cs"/>
            </a:rPr>
            <a:t>, you will receive an email to download the file </a:t>
          </a:r>
          <a:r>
            <a:rPr lang="en-US" sz="1100">
              <a:solidFill>
                <a:schemeClr val="dk1"/>
              </a:solidFill>
              <a:effectLst/>
              <a:latin typeface="+mn-lt"/>
              <a:ea typeface="+mn-ea"/>
              <a:cs typeface="+mn-cs"/>
            </a:rPr>
            <a:t>to your paypal email address automatically</a:t>
          </a:r>
        </a:p>
        <a:p>
          <a:endParaRPr lang="en-US">
            <a:effectLst/>
          </a:endParaRPr>
        </a:p>
        <a:p>
          <a:r>
            <a:rPr lang="en-US" sz="1100">
              <a:solidFill>
                <a:schemeClr val="dk1"/>
              </a:solidFill>
              <a:effectLst/>
              <a:latin typeface="+mn-lt"/>
              <a:ea typeface="+mn-ea"/>
              <a:cs typeface="+mn-cs"/>
              <a:sym typeface="Wingdings"/>
            </a:rPr>
            <a:t></a:t>
          </a:r>
          <a:r>
            <a:rPr lang="en-US" sz="1100" b="1">
              <a:solidFill>
                <a:schemeClr val="dk1"/>
              </a:solidFill>
              <a:effectLst/>
              <a:latin typeface="+mn-lt"/>
              <a:ea typeface="+mn-ea"/>
              <a:cs typeface="+mn-cs"/>
            </a:rPr>
            <a:t>Check your SPAM folder</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if you don't receive the email in your inbox folder </a:t>
          </a:r>
          <a:r>
            <a:rPr lang="en-US" sz="1100">
              <a:solidFill>
                <a:schemeClr val="dk1"/>
              </a:solidFill>
              <a:effectLst/>
              <a:latin typeface="+mn-lt"/>
              <a:ea typeface="+mn-ea"/>
              <a:cs typeface="+mn-cs"/>
            </a:rPr>
            <a:t>after 15 minutes. Sometimes, security of your email system will direct the email that contains link to spam folder</a:t>
          </a:r>
        </a:p>
        <a:p>
          <a:endParaRPr lang="en-US">
            <a:effectLst/>
          </a:endParaRPr>
        </a:p>
        <a:p>
          <a:r>
            <a:rPr lang="en-US" sz="1100">
              <a:solidFill>
                <a:schemeClr val="dk1"/>
              </a:solidFill>
              <a:effectLst/>
              <a:latin typeface="+mn-lt"/>
              <a:ea typeface="+mn-ea"/>
              <a:cs typeface="+mn-cs"/>
              <a:sym typeface="Wingdings"/>
            </a:rPr>
            <a:t></a:t>
          </a:r>
          <a:r>
            <a:rPr lang="en-US" sz="1100">
              <a:solidFill>
                <a:schemeClr val="dk1"/>
              </a:solidFill>
              <a:effectLst/>
              <a:latin typeface="+mn-lt"/>
              <a:ea typeface="+mn-ea"/>
              <a:cs typeface="+mn-cs"/>
            </a:rPr>
            <a:t>Email us at </a:t>
          </a:r>
          <a:r>
            <a:rPr lang="en-US" sz="1100" b="1">
              <a:solidFill>
                <a:schemeClr val="dk1"/>
              </a:solidFill>
              <a:effectLst/>
              <a:latin typeface="+mn-lt"/>
              <a:ea typeface="+mn-ea"/>
              <a:cs typeface="+mn-cs"/>
            </a:rPr>
            <a:t>support@journalsheet.com</a:t>
          </a:r>
          <a:r>
            <a:rPr lang="en-US" sz="1100">
              <a:solidFill>
                <a:schemeClr val="dk1"/>
              </a:solidFill>
              <a:effectLst/>
              <a:latin typeface="+mn-lt"/>
              <a:ea typeface="+mn-ea"/>
              <a:cs typeface="+mn-cs"/>
            </a:rPr>
            <a:t> if you still don't receive it or you have issue on downloading the file</a:t>
          </a:r>
          <a:endParaRPr lang="en-US">
            <a:effectLst/>
          </a:endParaRPr>
        </a:p>
        <a:p>
          <a:endParaRPr lang="en-US" sz="1100"/>
        </a:p>
      </xdr:txBody>
    </xdr:sp>
    <xdr:clientData/>
  </xdr:twoCellAnchor>
  <xdr:twoCellAnchor>
    <xdr:from>
      <xdr:col>11</xdr:col>
      <xdr:colOff>838200</xdr:colOff>
      <xdr:row>3</xdr:row>
      <xdr:rowOff>12700</xdr:rowOff>
    </xdr:from>
    <xdr:to>
      <xdr:col>12</xdr:col>
      <xdr:colOff>196850</xdr:colOff>
      <xdr:row>5</xdr:row>
      <xdr:rowOff>12700</xdr:rowOff>
    </xdr:to>
    <xdr:sp macro="" textlink="">
      <xdr:nvSpPr>
        <xdr:cNvPr id="4" name="Chevron 3"/>
        <xdr:cNvSpPr/>
      </xdr:nvSpPr>
      <xdr:spPr>
        <a:xfrm flipH="1">
          <a:off x="8439150" y="596900"/>
          <a:ext cx="311150" cy="552450"/>
        </a:xfrm>
        <a:prstGeom prst="chevron">
          <a:avLst/>
        </a:prstGeom>
        <a:solidFill>
          <a:schemeClr val="accent2">
            <a:lumMod val="50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gitalhub.fifa.com/m/2744a0a5e3ded185/original/FIFA-World-Cup-Qatar-2022-Regulations_EN.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journalsheet.com/product/js814ssxl-fifa-world-cup-2022-predictor-game" TargetMode="External"/><Relationship Id="rId1" Type="http://schemas.openxmlformats.org/officeDocument/2006/relationships/hyperlink" Target="https://www.fifa.com/tournaments/mens/worldcup/qatar2022/news/match-schedule-fwc22"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journalsheet.com/product-category/sport-spreadsheets" TargetMode="External"/><Relationship Id="rId1" Type="http://schemas.openxmlformats.org/officeDocument/2006/relationships/hyperlink" Target="https://journalsheet.com/product-category/sport-spreadsheets"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116"/>
  <sheetViews>
    <sheetView showGridLines="0" workbookViewId="0">
      <pane ySplit="7" topLeftCell="A8" activePane="bottomLeft" state="frozen"/>
      <selection pane="bottomLeft" activeCell="C5" sqref="C5"/>
    </sheetView>
  </sheetViews>
  <sheetFormatPr defaultColWidth="8.90625" defaultRowHeight="14.5" x14ac:dyDescent="0.25"/>
  <cols>
    <col min="1" max="1" width="1.6328125" style="11" customWidth="1"/>
    <col min="2" max="2" width="35.81640625" style="25" bestFit="1" customWidth="1"/>
    <col min="3" max="3" width="29.6328125" style="26" customWidth="1"/>
    <col min="4" max="4" width="3.08984375" style="27" customWidth="1"/>
    <col min="5" max="5" width="10.54296875" style="28" customWidth="1"/>
    <col min="6" max="6" width="8.90625" style="26" customWidth="1"/>
    <col min="7" max="7" width="1.6328125" style="26" customWidth="1"/>
    <col min="8" max="8" width="0.81640625" style="109" customWidth="1"/>
    <col min="9" max="9" width="1.6328125" style="26" customWidth="1"/>
    <col min="10" max="10" width="2.6328125" style="26" customWidth="1"/>
    <col min="11" max="11" width="24.54296875" style="26" customWidth="1"/>
    <col min="12" max="12" width="10.26953125" style="26" customWidth="1"/>
    <col min="13" max="22" width="8.90625" style="26"/>
    <col min="23" max="23" width="16.453125" style="26" customWidth="1"/>
    <col min="24" max="16384" width="8.90625" style="26"/>
  </cols>
  <sheetData>
    <row r="1" spans="1:105" s="1" customFormat="1" ht="5.5" customHeight="1" x14ac:dyDescent="0.35">
      <c r="B1" s="2"/>
      <c r="C1" s="3"/>
      <c r="D1" s="4"/>
      <c r="E1" s="5"/>
      <c r="F1" s="5"/>
      <c r="I1" s="5"/>
      <c r="J1" s="2"/>
      <c r="K1" s="2"/>
      <c r="L1" s="2"/>
      <c r="T1" s="6"/>
      <c r="U1" s="6"/>
      <c r="V1" s="6"/>
      <c r="W1" s="6"/>
      <c r="X1" s="6"/>
      <c r="Y1" s="6"/>
      <c r="Z1" s="7"/>
      <c r="AA1" s="7"/>
      <c r="AB1" s="7"/>
      <c r="AC1" s="8"/>
      <c r="AD1" s="9"/>
      <c r="AE1" s="10"/>
      <c r="CX1" s="6"/>
      <c r="CY1" s="6"/>
      <c r="CZ1" s="6"/>
      <c r="DA1" s="6"/>
    </row>
    <row r="2" spans="1:105" s="16" customFormat="1" ht="36" x14ac:dyDescent="0.25">
      <c r="A2" s="11"/>
      <c r="B2" s="12" t="s">
        <v>0</v>
      </c>
      <c r="C2" s="13"/>
      <c r="D2" s="14"/>
      <c r="E2" s="15"/>
      <c r="F2" s="15"/>
      <c r="H2" s="111"/>
      <c r="I2" s="15"/>
      <c r="J2" s="17"/>
      <c r="K2" s="17"/>
      <c r="L2" s="17"/>
      <c r="N2" s="18"/>
      <c r="O2" s="18"/>
      <c r="P2" s="18"/>
      <c r="Q2" s="18"/>
      <c r="R2" s="18"/>
      <c r="S2" s="18"/>
      <c r="T2" s="18"/>
      <c r="U2" s="18"/>
      <c r="Z2" s="19"/>
      <c r="AA2" s="19"/>
      <c r="AB2" s="20"/>
      <c r="AC2" s="21"/>
      <c r="AD2" s="22"/>
      <c r="AE2" s="23"/>
      <c r="CX2" s="24"/>
      <c r="CY2" s="24"/>
      <c r="CZ2" s="24"/>
      <c r="DA2" s="24"/>
    </row>
    <row r="3" spans="1:105" ht="5" customHeight="1" x14ac:dyDescent="0.25"/>
    <row r="4" spans="1:105" ht="15" customHeight="1" x14ac:dyDescent="0.25">
      <c r="B4" s="210" t="s">
        <v>637</v>
      </c>
      <c r="C4" s="211">
        <v>0</v>
      </c>
      <c r="D4" s="212"/>
      <c r="E4" s="213"/>
      <c r="F4" s="214"/>
      <c r="J4" s="112" t="s">
        <v>640</v>
      </c>
      <c r="K4" s="26" t="s">
        <v>641</v>
      </c>
    </row>
    <row r="5" spans="1:105" ht="15" customHeight="1" x14ac:dyDescent="0.25">
      <c r="B5" s="210" t="s">
        <v>638</v>
      </c>
      <c r="C5" s="108" t="s">
        <v>1</v>
      </c>
      <c r="D5" s="212"/>
      <c r="E5" s="252" t="s">
        <v>2</v>
      </c>
      <c r="F5" s="254" t="s">
        <v>3</v>
      </c>
      <c r="J5" s="112" t="s">
        <v>640</v>
      </c>
      <c r="K5" s="26" t="s">
        <v>717</v>
      </c>
    </row>
    <row r="6" spans="1:105" ht="15" customHeight="1" x14ac:dyDescent="0.25">
      <c r="B6" s="215" t="s">
        <v>639</v>
      </c>
      <c r="C6" s="29" t="s">
        <v>4</v>
      </c>
      <c r="D6" s="212"/>
      <c r="E6" s="252"/>
      <c r="F6" s="254"/>
      <c r="K6" s="113" t="s">
        <v>642</v>
      </c>
    </row>
    <row r="7" spans="1:105" ht="15" customHeight="1" x14ac:dyDescent="0.25">
      <c r="A7" s="30"/>
      <c r="B7" s="216" t="s">
        <v>5</v>
      </c>
      <c r="C7" s="217" t="s">
        <v>6</v>
      </c>
      <c r="D7" s="218"/>
      <c r="E7" s="253"/>
      <c r="F7" s="255"/>
      <c r="J7" s="112" t="s">
        <v>640</v>
      </c>
      <c r="K7" s="26" t="s">
        <v>643</v>
      </c>
    </row>
    <row r="8" spans="1:105" ht="15" customHeight="1" x14ac:dyDescent="0.25">
      <c r="B8" s="219" t="s">
        <v>7</v>
      </c>
      <c r="C8" s="29"/>
      <c r="D8" s="220" t="s">
        <v>8</v>
      </c>
      <c r="E8" s="110">
        <v>1584</v>
      </c>
      <c r="F8" s="110"/>
      <c r="J8" s="114"/>
      <c r="K8" s="123" t="s">
        <v>697</v>
      </c>
    </row>
    <row r="9" spans="1:105" ht="15" customHeight="1" x14ac:dyDescent="0.25">
      <c r="B9" s="219" t="s">
        <v>9</v>
      </c>
      <c r="C9" s="29"/>
      <c r="D9" s="220" t="s">
        <v>8</v>
      </c>
      <c r="E9" s="31">
        <v>1658</v>
      </c>
      <c r="F9" s="31"/>
      <c r="J9" s="114" t="s">
        <v>640</v>
      </c>
      <c r="K9" s="113" t="s">
        <v>644</v>
      </c>
    </row>
    <row r="10" spans="1:105" ht="15" customHeight="1" thickBot="1" x14ac:dyDescent="0.3">
      <c r="B10" s="219" t="s">
        <v>10</v>
      </c>
      <c r="C10" s="29"/>
      <c r="D10" s="220" t="s">
        <v>8</v>
      </c>
      <c r="E10" s="31">
        <v>1441</v>
      </c>
      <c r="F10" s="31"/>
      <c r="J10" s="115" t="s">
        <v>645</v>
      </c>
      <c r="K10" s="116"/>
      <c r="L10" s="117" t="s">
        <v>659</v>
      </c>
      <c r="M10" s="122" t="s">
        <v>660</v>
      </c>
      <c r="N10" s="116"/>
      <c r="O10" s="116"/>
      <c r="P10" s="116"/>
      <c r="Q10" s="116"/>
      <c r="R10" s="116"/>
      <c r="S10" s="116"/>
      <c r="T10" s="116"/>
      <c r="U10" s="116"/>
      <c r="V10" s="116"/>
      <c r="W10" s="116"/>
    </row>
    <row r="11" spans="1:105" ht="15" customHeight="1" x14ac:dyDescent="0.25">
      <c r="B11" s="219" t="s">
        <v>11</v>
      </c>
      <c r="C11" s="29"/>
      <c r="D11" s="220" t="s">
        <v>8</v>
      </c>
      <c r="E11" s="31">
        <v>1453</v>
      </c>
      <c r="F11" s="31"/>
      <c r="J11" s="26" t="s">
        <v>658</v>
      </c>
    </row>
    <row r="12" spans="1:105" ht="15" customHeight="1" x14ac:dyDescent="0.25">
      <c r="B12" s="219" t="s">
        <v>12</v>
      </c>
      <c r="C12" s="29"/>
      <c r="D12" s="220" t="s">
        <v>8</v>
      </c>
      <c r="E12" s="31">
        <v>1762</v>
      </c>
      <c r="F12" s="31"/>
      <c r="J12" s="28">
        <v>1</v>
      </c>
      <c r="K12" s="26" t="s">
        <v>646</v>
      </c>
    </row>
    <row r="13" spans="1:105" ht="15" customHeight="1" x14ac:dyDescent="0.25">
      <c r="B13" s="219" t="s">
        <v>13</v>
      </c>
      <c r="C13" s="29"/>
      <c r="D13" s="220" t="s">
        <v>8</v>
      </c>
      <c r="E13" s="31">
        <v>1564</v>
      </c>
      <c r="F13" s="31"/>
      <c r="J13" s="28">
        <v>2</v>
      </c>
      <c r="K13" s="26" t="s">
        <v>647</v>
      </c>
    </row>
    <row r="14" spans="1:105" ht="15" customHeight="1" x14ac:dyDescent="0.25">
      <c r="B14" s="219" t="s">
        <v>14</v>
      </c>
      <c r="C14" s="29"/>
      <c r="D14" s="220" t="s">
        <v>8</v>
      </c>
      <c r="E14" s="31">
        <v>1634</v>
      </c>
      <c r="F14" s="31"/>
      <c r="J14" s="28">
        <v>3</v>
      </c>
      <c r="K14" s="26" t="s">
        <v>648</v>
      </c>
    </row>
    <row r="15" spans="1:105" ht="15" customHeight="1" x14ac:dyDescent="0.25">
      <c r="B15" s="219" t="s">
        <v>15</v>
      </c>
      <c r="C15" s="29"/>
      <c r="D15" s="220" t="s">
        <v>8</v>
      </c>
      <c r="E15" s="31">
        <v>1588</v>
      </c>
      <c r="F15" s="31"/>
      <c r="J15" s="28">
        <v>4</v>
      </c>
      <c r="K15" s="26" t="s">
        <v>649</v>
      </c>
    </row>
    <row r="16" spans="1:105" ht="15" customHeight="1" x14ac:dyDescent="0.25">
      <c r="B16" s="219" t="s">
        <v>16</v>
      </c>
      <c r="C16" s="29"/>
      <c r="D16" s="220" t="s">
        <v>8</v>
      </c>
      <c r="E16" s="31">
        <v>1765</v>
      </c>
      <c r="F16" s="31"/>
      <c r="J16" s="28">
        <v>5</v>
      </c>
      <c r="K16" s="26" t="s">
        <v>650</v>
      </c>
    </row>
    <row r="17" spans="2:11" ht="15" customHeight="1" x14ac:dyDescent="0.25">
      <c r="B17" s="219" t="s">
        <v>17</v>
      </c>
      <c r="C17" s="29"/>
      <c r="D17" s="220" t="s">
        <v>8</v>
      </c>
      <c r="E17" s="31">
        <v>1445</v>
      </c>
      <c r="F17" s="31"/>
      <c r="J17" s="28">
        <v>6</v>
      </c>
      <c r="K17" s="26" t="s">
        <v>651</v>
      </c>
    </row>
    <row r="18" spans="2:11" ht="15" customHeight="1" x14ac:dyDescent="0.25">
      <c r="B18" s="219" t="s">
        <v>18</v>
      </c>
      <c r="C18" s="29"/>
      <c r="D18" s="220" t="s">
        <v>8</v>
      </c>
      <c r="E18" s="31">
        <v>1659</v>
      </c>
      <c r="F18" s="31"/>
      <c r="J18" s="28">
        <v>7</v>
      </c>
      <c r="K18" s="26" t="s">
        <v>652</v>
      </c>
    </row>
    <row r="19" spans="2:11" ht="15" customHeight="1" x14ac:dyDescent="0.25">
      <c r="B19" s="219" t="s">
        <v>19</v>
      </c>
      <c r="C19" s="29"/>
      <c r="D19" s="220" t="s">
        <v>8</v>
      </c>
      <c r="E19" s="31">
        <v>1544</v>
      </c>
      <c r="F19" s="31"/>
      <c r="J19" s="28"/>
      <c r="K19" s="26" t="s">
        <v>654</v>
      </c>
    </row>
    <row r="20" spans="2:11" ht="15" customHeight="1" x14ac:dyDescent="0.25">
      <c r="B20" s="219" t="s">
        <v>20</v>
      </c>
      <c r="C20" s="29"/>
      <c r="D20" s="220" t="s">
        <v>8</v>
      </c>
      <c r="E20" s="31">
        <v>1654</v>
      </c>
      <c r="F20" s="31"/>
      <c r="J20" s="28"/>
      <c r="K20" s="26" t="s">
        <v>655</v>
      </c>
    </row>
    <row r="21" spans="2:11" ht="15" customHeight="1" x14ac:dyDescent="0.25">
      <c r="B21" s="219" t="s">
        <v>21</v>
      </c>
      <c r="C21" s="29"/>
      <c r="D21" s="220" t="s">
        <v>8</v>
      </c>
      <c r="E21" s="31">
        <v>1500</v>
      </c>
      <c r="F21" s="31"/>
      <c r="J21" s="28"/>
      <c r="K21" s="26" t="s">
        <v>656</v>
      </c>
    </row>
    <row r="22" spans="2:11" ht="15" customHeight="1" x14ac:dyDescent="0.25">
      <c r="B22" s="219" t="s">
        <v>22</v>
      </c>
      <c r="C22" s="29"/>
      <c r="D22" s="220" t="s">
        <v>8</v>
      </c>
      <c r="E22" s="31">
        <v>1790</v>
      </c>
      <c r="F22" s="31"/>
      <c r="J22" s="28"/>
      <c r="K22" s="26" t="s">
        <v>657</v>
      </c>
    </row>
    <row r="23" spans="2:11" ht="15" customHeight="1" x14ac:dyDescent="0.25">
      <c r="B23" s="219" t="s">
        <v>23</v>
      </c>
      <c r="C23" s="29"/>
      <c r="D23" s="220" t="s">
        <v>8</v>
      </c>
      <c r="E23" s="31">
        <v>1462</v>
      </c>
      <c r="F23" s="31"/>
      <c r="J23" s="28">
        <v>8</v>
      </c>
      <c r="K23" s="26" t="s">
        <v>653</v>
      </c>
    </row>
    <row r="24" spans="2:11" ht="15" customHeight="1" x14ac:dyDescent="0.25">
      <c r="B24" s="219" t="s">
        <v>24</v>
      </c>
      <c r="C24" s="29"/>
      <c r="D24" s="220" t="s">
        <v>8</v>
      </c>
      <c r="E24" s="31">
        <v>1651</v>
      </c>
      <c r="F24" s="31"/>
    </row>
    <row r="25" spans="2:11" ht="15" customHeight="1" x14ac:dyDescent="0.25">
      <c r="B25" s="219" t="s">
        <v>25</v>
      </c>
      <c r="C25" s="29"/>
      <c r="D25" s="220" t="s">
        <v>8</v>
      </c>
      <c r="E25" s="31">
        <v>1553</v>
      </c>
      <c r="F25" s="31"/>
    </row>
    <row r="26" spans="2:11" ht="15" customHeight="1" x14ac:dyDescent="0.25">
      <c r="B26" s="219" t="s">
        <v>26</v>
      </c>
      <c r="C26" s="29"/>
      <c r="D26" s="220" t="s">
        <v>8</v>
      </c>
      <c r="E26" s="31">
        <v>1709</v>
      </c>
      <c r="F26" s="31"/>
    </row>
    <row r="27" spans="2:11" ht="15" customHeight="1" x14ac:dyDescent="0.25">
      <c r="B27" s="219" t="s">
        <v>27</v>
      </c>
      <c r="C27" s="29"/>
      <c r="D27" s="220" t="s">
        <v>8</v>
      </c>
      <c r="E27" s="31">
        <v>1503</v>
      </c>
      <c r="F27" s="31"/>
    </row>
    <row r="28" spans="2:11" ht="15" customHeight="1" x14ac:dyDescent="0.25">
      <c r="B28" s="219" t="s">
        <v>28</v>
      </c>
      <c r="C28" s="29"/>
      <c r="D28" s="220" t="s">
        <v>8</v>
      </c>
      <c r="E28" s="31">
        <v>1552</v>
      </c>
      <c r="F28" s="31"/>
    </row>
    <row r="29" spans="2:11" ht="15" customHeight="1" x14ac:dyDescent="0.25">
      <c r="B29" s="219" t="s">
        <v>29</v>
      </c>
      <c r="C29" s="29"/>
      <c r="D29" s="220" t="s">
        <v>8</v>
      </c>
      <c r="E29" s="31">
        <v>1621</v>
      </c>
      <c r="F29" s="31"/>
    </row>
    <row r="30" spans="2:11" ht="15" customHeight="1" x14ac:dyDescent="0.25">
      <c r="B30" s="219" t="s">
        <v>30</v>
      </c>
      <c r="C30" s="29"/>
      <c r="D30" s="220" t="s">
        <v>8</v>
      </c>
      <c r="E30" s="31">
        <v>1827</v>
      </c>
      <c r="F30" s="31"/>
    </row>
    <row r="31" spans="2:11" ht="15" customHeight="1" x14ac:dyDescent="0.25">
      <c r="B31" s="219" t="s">
        <v>31</v>
      </c>
      <c r="C31" s="29"/>
      <c r="D31" s="220" t="s">
        <v>8</v>
      </c>
      <c r="E31" s="31">
        <v>1479</v>
      </c>
      <c r="F31" s="31"/>
    </row>
    <row r="32" spans="2:11" ht="15" customHeight="1" x14ac:dyDescent="0.25">
      <c r="B32" s="219" t="s">
        <v>32</v>
      </c>
      <c r="C32" s="29"/>
      <c r="D32" s="220" t="s">
        <v>8</v>
      </c>
      <c r="E32" s="31">
        <v>1635</v>
      </c>
      <c r="F32" s="31"/>
    </row>
    <row r="33" spans="2:6" ht="15" customHeight="1" x14ac:dyDescent="0.25">
      <c r="B33" s="219" t="s">
        <v>33</v>
      </c>
      <c r="C33" s="29"/>
      <c r="D33" s="220" t="s">
        <v>8</v>
      </c>
      <c r="E33" s="31">
        <v>1480</v>
      </c>
      <c r="F33" s="31"/>
    </row>
    <row r="34" spans="2:6" ht="15" customHeight="1" x14ac:dyDescent="0.25">
      <c r="B34" s="219" t="s">
        <v>34</v>
      </c>
      <c r="C34" s="29"/>
      <c r="D34" s="220" t="s">
        <v>8</v>
      </c>
      <c r="E34" s="31">
        <v>1833</v>
      </c>
      <c r="F34" s="31"/>
    </row>
    <row r="35" spans="2:6" ht="15" customHeight="1" x14ac:dyDescent="0.25">
      <c r="B35" s="219" t="s">
        <v>35</v>
      </c>
      <c r="C35" s="29"/>
      <c r="D35" s="220" t="s">
        <v>8</v>
      </c>
      <c r="E35" s="31">
        <v>1548</v>
      </c>
      <c r="F35" s="31"/>
    </row>
    <row r="36" spans="2:6" ht="15" customHeight="1" x14ac:dyDescent="0.25">
      <c r="B36" s="219" t="s">
        <v>36</v>
      </c>
      <c r="C36" s="29"/>
      <c r="D36" s="220" t="s">
        <v>8</v>
      </c>
      <c r="E36" s="31">
        <v>1636</v>
      </c>
      <c r="F36" s="31"/>
    </row>
    <row r="37" spans="2:6" ht="15" customHeight="1" x14ac:dyDescent="0.25">
      <c r="B37" s="219" t="s">
        <v>37</v>
      </c>
      <c r="C37" s="29"/>
      <c r="D37" s="220" t="s">
        <v>8</v>
      </c>
      <c r="E37" s="31">
        <v>1520</v>
      </c>
      <c r="F37" s="31"/>
    </row>
    <row r="38" spans="2:6" ht="15" customHeight="1" x14ac:dyDescent="0.25">
      <c r="B38" s="219" t="s">
        <v>38</v>
      </c>
      <c r="C38" s="29"/>
      <c r="D38" s="220" t="s">
        <v>8</v>
      </c>
      <c r="E38" s="31">
        <v>1675</v>
      </c>
      <c r="F38" s="31"/>
    </row>
    <row r="39" spans="2:6" ht="15" customHeight="1" x14ac:dyDescent="0.25">
      <c r="B39" s="219" t="s">
        <v>39</v>
      </c>
      <c r="C39" s="29"/>
      <c r="D39" s="220" t="s">
        <v>8</v>
      </c>
      <c r="E39" s="31">
        <v>1387</v>
      </c>
      <c r="F39" s="31"/>
    </row>
    <row r="40" spans="2:6" ht="15" customHeight="1" x14ac:dyDescent="0.25">
      <c r="B40" s="219" t="s">
        <v>40</v>
      </c>
      <c r="C40" s="29"/>
      <c r="D40" s="212"/>
      <c r="E40" s="221" t="s">
        <v>41</v>
      </c>
      <c r="F40" s="222"/>
    </row>
    <row r="41" spans="2:6" ht="15" customHeight="1" x14ac:dyDescent="0.25">
      <c r="B41" s="219" t="s">
        <v>42</v>
      </c>
      <c r="C41" s="29"/>
      <c r="D41" s="212"/>
      <c r="E41" s="223"/>
      <c r="F41" s="222"/>
    </row>
    <row r="42" spans="2:6" ht="15" customHeight="1" x14ac:dyDescent="0.25">
      <c r="B42" s="219" t="s">
        <v>43</v>
      </c>
      <c r="C42" s="29"/>
      <c r="D42" s="212"/>
      <c r="E42" s="223"/>
      <c r="F42" s="222"/>
    </row>
    <row r="43" spans="2:6" ht="15" customHeight="1" x14ac:dyDescent="0.25">
      <c r="B43" s="219" t="s">
        <v>44</v>
      </c>
      <c r="C43" s="29"/>
      <c r="D43" s="212"/>
      <c r="E43" s="223"/>
      <c r="F43" s="222"/>
    </row>
    <row r="44" spans="2:6" ht="15" customHeight="1" x14ac:dyDescent="0.25">
      <c r="B44" s="219" t="s">
        <v>45</v>
      </c>
      <c r="C44" s="29"/>
      <c r="D44" s="212"/>
      <c r="E44" s="223"/>
      <c r="F44" s="222"/>
    </row>
    <row r="45" spans="2:6" ht="15" customHeight="1" x14ac:dyDescent="0.25">
      <c r="B45" s="219" t="s">
        <v>46</v>
      </c>
      <c r="C45" s="29"/>
      <c r="D45" s="212"/>
      <c r="E45" s="223"/>
      <c r="F45" s="222"/>
    </row>
    <row r="46" spans="2:6" ht="15" customHeight="1" x14ac:dyDescent="0.25">
      <c r="B46" s="219" t="s">
        <v>47</v>
      </c>
      <c r="C46" s="29"/>
      <c r="D46" s="212"/>
      <c r="E46" s="223"/>
      <c r="F46" s="222"/>
    </row>
    <row r="47" spans="2:6" ht="15" customHeight="1" x14ac:dyDescent="0.25">
      <c r="B47" s="219" t="s">
        <v>48</v>
      </c>
      <c r="C47" s="29"/>
      <c r="D47" s="212"/>
      <c r="E47" s="223"/>
      <c r="F47" s="222"/>
    </row>
    <row r="48" spans="2:6" ht="15" customHeight="1" x14ac:dyDescent="0.25">
      <c r="B48" s="219" t="s">
        <v>49</v>
      </c>
      <c r="C48" s="29"/>
      <c r="D48" s="212"/>
      <c r="E48" s="223"/>
      <c r="F48" s="222"/>
    </row>
    <row r="49" spans="2:6" ht="15" customHeight="1" x14ac:dyDescent="0.25">
      <c r="B49" s="219" t="s">
        <v>50</v>
      </c>
      <c r="C49" s="29"/>
      <c r="D49" s="212"/>
      <c r="E49" s="223"/>
      <c r="F49" s="222"/>
    </row>
    <row r="50" spans="2:6" ht="15" customHeight="1" x14ac:dyDescent="0.25">
      <c r="B50" s="219" t="s">
        <v>51</v>
      </c>
      <c r="C50" s="29"/>
      <c r="D50" s="212"/>
      <c r="E50" s="223"/>
      <c r="F50" s="222"/>
    </row>
    <row r="51" spans="2:6" ht="15" customHeight="1" x14ac:dyDescent="0.25">
      <c r="B51" s="219" t="s">
        <v>52</v>
      </c>
      <c r="C51" s="29"/>
      <c r="D51" s="212"/>
      <c r="E51" s="223"/>
      <c r="F51" s="222"/>
    </row>
    <row r="52" spans="2:6" ht="15" customHeight="1" x14ac:dyDescent="0.25">
      <c r="B52" s="219" t="s">
        <v>53</v>
      </c>
      <c r="C52" s="29"/>
      <c r="D52" s="212"/>
      <c r="E52" s="223"/>
      <c r="F52" s="222"/>
    </row>
    <row r="53" spans="2:6" ht="15" customHeight="1" x14ac:dyDescent="0.25">
      <c r="B53" s="219" t="s">
        <v>54</v>
      </c>
      <c r="C53" s="29"/>
      <c r="D53" s="212"/>
      <c r="E53" s="223"/>
      <c r="F53" s="222"/>
    </row>
    <row r="54" spans="2:6" ht="15" customHeight="1" x14ac:dyDescent="0.25">
      <c r="B54" s="219" t="s">
        <v>55</v>
      </c>
      <c r="C54" s="29"/>
      <c r="D54" s="212"/>
      <c r="E54" s="223"/>
      <c r="F54" s="222"/>
    </row>
    <row r="55" spans="2:6" ht="15" customHeight="1" x14ac:dyDescent="0.25">
      <c r="B55" s="219" t="s">
        <v>56</v>
      </c>
      <c r="C55" s="29"/>
      <c r="D55" s="212"/>
      <c r="E55" s="223"/>
      <c r="F55" s="222"/>
    </row>
    <row r="56" spans="2:6" ht="15" customHeight="1" x14ac:dyDescent="0.25">
      <c r="B56" s="219" t="s">
        <v>57</v>
      </c>
      <c r="C56" s="29"/>
      <c r="D56" s="212"/>
      <c r="E56" s="223"/>
      <c r="F56" s="222"/>
    </row>
    <row r="57" spans="2:6" ht="15" customHeight="1" x14ac:dyDescent="0.25">
      <c r="B57" s="219" t="s">
        <v>58</v>
      </c>
      <c r="C57" s="29"/>
      <c r="D57" s="212"/>
      <c r="E57" s="223"/>
      <c r="F57" s="222"/>
    </row>
    <row r="58" spans="2:6" ht="15" customHeight="1" x14ac:dyDescent="0.25">
      <c r="B58" s="219" t="s">
        <v>699</v>
      </c>
      <c r="C58" s="29"/>
      <c r="D58" s="212"/>
      <c r="E58" s="223"/>
      <c r="F58" s="222"/>
    </row>
    <row r="59" spans="2:6" ht="15" customHeight="1" x14ac:dyDescent="0.25">
      <c r="B59" s="219" t="s">
        <v>59</v>
      </c>
      <c r="C59" s="29"/>
      <c r="D59" s="212"/>
      <c r="E59" s="223"/>
      <c r="F59" s="222"/>
    </row>
    <row r="60" spans="2:6" ht="15" customHeight="1" x14ac:dyDescent="0.25">
      <c r="B60" s="219" t="s">
        <v>60</v>
      </c>
      <c r="C60" s="29"/>
      <c r="D60" s="212"/>
      <c r="E60" s="223"/>
      <c r="F60" s="222"/>
    </row>
    <row r="61" spans="2:6" ht="15" customHeight="1" x14ac:dyDescent="0.25">
      <c r="B61" s="219" t="s">
        <v>61</v>
      </c>
      <c r="C61" s="29"/>
      <c r="D61" s="212"/>
      <c r="E61" s="223"/>
      <c r="F61" s="222"/>
    </row>
    <row r="62" spans="2:6" ht="15" customHeight="1" x14ac:dyDescent="0.25">
      <c r="B62" s="219" t="s">
        <v>62</v>
      </c>
      <c r="C62" s="29"/>
      <c r="D62" s="212"/>
      <c r="E62" s="223"/>
      <c r="F62" s="222"/>
    </row>
    <row r="63" spans="2:6" ht="15" customHeight="1" x14ac:dyDescent="0.25">
      <c r="B63" s="219" t="s">
        <v>63</v>
      </c>
      <c r="C63" s="29"/>
      <c r="D63" s="212"/>
      <c r="E63" s="223"/>
      <c r="F63" s="222"/>
    </row>
    <row r="64" spans="2:6" ht="15" customHeight="1" x14ac:dyDescent="0.25">
      <c r="B64" s="219" t="s">
        <v>64</v>
      </c>
      <c r="C64" s="29"/>
      <c r="D64" s="212"/>
      <c r="E64" s="223"/>
      <c r="F64" s="222"/>
    </row>
    <row r="65" spans="2:6" ht="15" customHeight="1" x14ac:dyDescent="0.25">
      <c r="B65" s="219" t="s">
        <v>65</v>
      </c>
      <c r="C65" s="29"/>
      <c r="D65" s="212"/>
      <c r="E65" s="223"/>
      <c r="F65" s="222"/>
    </row>
    <row r="66" spans="2:6" ht="15" customHeight="1" x14ac:dyDescent="0.25">
      <c r="B66" s="219" t="s">
        <v>66</v>
      </c>
      <c r="C66" s="29"/>
      <c r="D66" s="212"/>
      <c r="E66" s="223"/>
      <c r="F66" s="222"/>
    </row>
    <row r="67" spans="2:6" ht="15" customHeight="1" x14ac:dyDescent="0.25">
      <c r="B67" s="219" t="s">
        <v>67</v>
      </c>
      <c r="C67" s="29"/>
      <c r="D67" s="212"/>
      <c r="E67" s="223"/>
      <c r="F67" s="222"/>
    </row>
    <row r="68" spans="2:6" ht="15" customHeight="1" x14ac:dyDescent="0.25">
      <c r="B68" s="219" t="s">
        <v>68</v>
      </c>
      <c r="C68" s="29"/>
      <c r="D68" s="212"/>
      <c r="E68" s="223"/>
      <c r="F68" s="222"/>
    </row>
    <row r="69" spans="2:6" ht="15" customHeight="1" x14ac:dyDescent="0.25">
      <c r="B69" s="219" t="s">
        <v>69</v>
      </c>
      <c r="C69" s="29"/>
      <c r="D69" s="212"/>
      <c r="E69" s="223"/>
      <c r="F69" s="222"/>
    </row>
    <row r="70" spans="2:6" ht="15" customHeight="1" x14ac:dyDescent="0.25">
      <c r="B70" s="219" t="s">
        <v>70</v>
      </c>
      <c r="C70" s="29"/>
      <c r="D70" s="212"/>
      <c r="E70" s="223"/>
      <c r="F70" s="222"/>
    </row>
    <row r="71" spans="2:6" ht="15" customHeight="1" x14ac:dyDescent="0.25">
      <c r="B71" s="219" t="s">
        <v>71</v>
      </c>
      <c r="C71" s="29"/>
      <c r="D71" s="212"/>
      <c r="E71" s="223"/>
      <c r="F71" s="222"/>
    </row>
    <row r="72" spans="2:6" ht="15" customHeight="1" x14ac:dyDescent="0.25">
      <c r="B72" s="219" t="s">
        <v>72</v>
      </c>
      <c r="C72" s="29"/>
      <c r="D72" s="212"/>
      <c r="E72" s="223"/>
      <c r="F72" s="222"/>
    </row>
    <row r="73" spans="2:6" ht="15" customHeight="1" x14ac:dyDescent="0.25">
      <c r="B73" s="219" t="s">
        <v>73</v>
      </c>
      <c r="C73" s="29"/>
      <c r="D73" s="212"/>
      <c r="E73" s="223"/>
      <c r="F73" s="222"/>
    </row>
    <row r="74" spans="2:6" ht="15" customHeight="1" x14ac:dyDescent="0.25">
      <c r="B74" s="219" t="s">
        <v>74</v>
      </c>
      <c r="C74" s="29"/>
      <c r="D74" s="212"/>
      <c r="E74" s="223"/>
      <c r="F74" s="222"/>
    </row>
    <row r="75" spans="2:6" ht="15" customHeight="1" x14ac:dyDescent="0.25">
      <c r="B75" s="219" t="s">
        <v>75</v>
      </c>
      <c r="C75" s="29"/>
      <c r="D75" s="212"/>
      <c r="E75" s="223"/>
      <c r="F75" s="222"/>
    </row>
    <row r="76" spans="2:6" ht="15" customHeight="1" x14ac:dyDescent="0.25">
      <c r="B76" s="219" t="s">
        <v>76</v>
      </c>
      <c r="C76" s="29"/>
      <c r="D76" s="212"/>
      <c r="E76" s="223"/>
      <c r="F76" s="222"/>
    </row>
    <row r="77" spans="2:6" ht="15" customHeight="1" x14ac:dyDescent="0.25">
      <c r="B77" s="219" t="s">
        <v>77</v>
      </c>
      <c r="C77" s="29"/>
      <c r="D77" s="212"/>
      <c r="E77" s="223"/>
      <c r="F77" s="222"/>
    </row>
    <row r="78" spans="2:6" ht="15" customHeight="1" x14ac:dyDescent="0.25">
      <c r="B78" s="219" t="s">
        <v>78</v>
      </c>
      <c r="C78" s="29"/>
      <c r="D78" s="212"/>
      <c r="E78" s="223"/>
      <c r="F78" s="222"/>
    </row>
    <row r="79" spans="2:6" ht="15" customHeight="1" x14ac:dyDescent="0.25">
      <c r="B79" s="219" t="s">
        <v>79</v>
      </c>
      <c r="C79" s="29"/>
      <c r="D79" s="212"/>
      <c r="E79" s="223"/>
      <c r="F79" s="222"/>
    </row>
    <row r="80" spans="2:6" ht="15" customHeight="1" x14ac:dyDescent="0.25">
      <c r="B80" s="219" t="s">
        <v>80</v>
      </c>
      <c r="C80" s="29"/>
      <c r="D80" s="212"/>
      <c r="E80" s="223"/>
      <c r="F80" s="222"/>
    </row>
    <row r="81" spans="2:6" ht="15" customHeight="1" x14ac:dyDescent="0.25">
      <c r="B81" s="219" t="s">
        <v>81</v>
      </c>
      <c r="C81" s="29"/>
      <c r="D81" s="212"/>
      <c r="E81" s="223"/>
      <c r="F81" s="222"/>
    </row>
    <row r="82" spans="2:6" ht="15" customHeight="1" x14ac:dyDescent="0.25">
      <c r="B82" s="219" t="s">
        <v>82</v>
      </c>
      <c r="C82" s="29"/>
      <c r="D82" s="212"/>
      <c r="E82" s="223"/>
      <c r="F82" s="222"/>
    </row>
    <row r="83" spans="2:6" ht="15" customHeight="1" x14ac:dyDescent="0.25">
      <c r="B83" s="219" t="s">
        <v>83</v>
      </c>
      <c r="C83" s="29"/>
      <c r="D83" s="212"/>
      <c r="E83" s="223"/>
      <c r="F83" s="222"/>
    </row>
    <row r="84" spans="2:6" ht="15" customHeight="1" x14ac:dyDescent="0.25">
      <c r="B84" s="219" t="s">
        <v>84</v>
      </c>
      <c r="C84" s="29"/>
      <c r="D84" s="212"/>
      <c r="E84" s="223"/>
      <c r="F84" s="222"/>
    </row>
    <row r="85" spans="2:6" ht="15" customHeight="1" x14ac:dyDescent="0.25">
      <c r="B85" s="219" t="s">
        <v>85</v>
      </c>
      <c r="C85" s="29"/>
      <c r="D85" s="212"/>
      <c r="E85" s="223"/>
      <c r="F85" s="222"/>
    </row>
    <row r="86" spans="2:6" ht="15" customHeight="1" x14ac:dyDescent="0.25">
      <c r="B86" s="219" t="s">
        <v>86</v>
      </c>
      <c r="C86" s="29"/>
      <c r="D86" s="212"/>
      <c r="E86" s="223"/>
      <c r="F86" s="222"/>
    </row>
    <row r="87" spans="2:6" ht="15" customHeight="1" x14ac:dyDescent="0.25">
      <c r="B87" s="219" t="s">
        <v>87</v>
      </c>
      <c r="C87" s="29"/>
      <c r="D87" s="212"/>
      <c r="E87" s="223"/>
      <c r="F87" s="222"/>
    </row>
    <row r="88" spans="2:6" ht="15" customHeight="1" x14ac:dyDescent="0.25">
      <c r="B88" s="219" t="s">
        <v>88</v>
      </c>
      <c r="C88" s="29"/>
      <c r="D88" s="212"/>
      <c r="E88" s="223"/>
      <c r="F88" s="222"/>
    </row>
    <row r="89" spans="2:6" ht="15" customHeight="1" x14ac:dyDescent="0.25">
      <c r="B89" s="219" t="s">
        <v>89</v>
      </c>
      <c r="C89" s="29"/>
      <c r="D89" s="212"/>
      <c r="E89" s="223"/>
      <c r="F89" s="222"/>
    </row>
    <row r="90" spans="2:6" ht="15" customHeight="1" x14ac:dyDescent="0.25">
      <c r="B90" s="219" t="s">
        <v>90</v>
      </c>
      <c r="C90" s="29"/>
      <c r="D90" s="212"/>
      <c r="E90" s="223"/>
      <c r="F90" s="222"/>
    </row>
    <row r="91" spans="2:6" ht="15" customHeight="1" x14ac:dyDescent="0.25">
      <c r="B91" s="219" t="s">
        <v>91</v>
      </c>
      <c r="C91" s="29"/>
      <c r="D91" s="212"/>
      <c r="E91" s="223"/>
      <c r="F91" s="222"/>
    </row>
    <row r="92" spans="2:6" ht="15" customHeight="1" x14ac:dyDescent="0.25">
      <c r="B92" s="219" t="s">
        <v>92</v>
      </c>
      <c r="C92" s="29"/>
      <c r="D92" s="212"/>
      <c r="E92" s="223"/>
      <c r="F92" s="222"/>
    </row>
    <row r="93" spans="2:6" ht="15" customHeight="1" x14ac:dyDescent="0.25">
      <c r="B93" s="219" t="s">
        <v>93</v>
      </c>
      <c r="C93" s="29"/>
      <c r="D93" s="212"/>
      <c r="E93" s="223"/>
      <c r="F93" s="222"/>
    </row>
    <row r="94" spans="2:6" ht="15" customHeight="1" x14ac:dyDescent="0.25">
      <c r="B94" s="219" t="s">
        <v>94</v>
      </c>
      <c r="C94" s="29"/>
      <c r="D94" s="212"/>
      <c r="E94" s="223"/>
      <c r="F94" s="222"/>
    </row>
    <row r="95" spans="2:6" ht="15" customHeight="1" x14ac:dyDescent="0.25">
      <c r="B95" s="219" t="s">
        <v>95</v>
      </c>
      <c r="C95" s="29"/>
      <c r="D95" s="212"/>
      <c r="E95" s="223"/>
      <c r="F95" s="222"/>
    </row>
    <row r="96" spans="2:6" ht="15" customHeight="1" x14ac:dyDescent="0.25">
      <c r="B96" s="219" t="s">
        <v>96</v>
      </c>
      <c r="C96" s="29"/>
      <c r="D96" s="212"/>
      <c r="E96" s="223"/>
      <c r="F96" s="222"/>
    </row>
    <row r="97" spans="2:6" ht="15" customHeight="1" x14ac:dyDescent="0.25">
      <c r="B97" s="219" t="s">
        <v>97</v>
      </c>
      <c r="C97" s="29"/>
      <c r="D97" s="212"/>
      <c r="E97" s="223"/>
      <c r="F97" s="222"/>
    </row>
    <row r="98" spans="2:6" ht="15" customHeight="1" x14ac:dyDescent="0.25">
      <c r="B98" s="219" t="s">
        <v>98</v>
      </c>
      <c r="C98" s="29"/>
      <c r="D98" s="212"/>
      <c r="E98" s="223"/>
      <c r="F98" s="222"/>
    </row>
    <row r="99" spans="2:6" ht="15" customHeight="1" x14ac:dyDescent="0.25">
      <c r="B99" s="219" t="s">
        <v>99</v>
      </c>
      <c r="C99" s="29"/>
      <c r="D99" s="212"/>
      <c r="E99" s="223"/>
      <c r="F99" s="222"/>
    </row>
    <row r="100" spans="2:6" ht="15" customHeight="1" x14ac:dyDescent="0.25">
      <c r="B100" s="219" t="s">
        <v>100</v>
      </c>
      <c r="C100" s="29"/>
      <c r="D100" s="212"/>
      <c r="E100" s="223"/>
      <c r="F100" s="222"/>
    </row>
    <row r="101" spans="2:6" ht="15" customHeight="1" x14ac:dyDescent="0.25">
      <c r="B101" s="219" t="s">
        <v>101</v>
      </c>
      <c r="C101" s="29"/>
      <c r="D101" s="212"/>
      <c r="E101" s="223"/>
      <c r="F101" s="222"/>
    </row>
    <row r="102" spans="2:6" ht="15" customHeight="1" x14ac:dyDescent="0.25">
      <c r="B102" s="219" t="s">
        <v>102</v>
      </c>
      <c r="C102" s="29"/>
      <c r="D102" s="212"/>
      <c r="E102" s="223"/>
      <c r="F102" s="222"/>
    </row>
    <row r="103" spans="2:6" ht="15" customHeight="1" x14ac:dyDescent="0.25">
      <c r="B103" s="219" t="s">
        <v>103</v>
      </c>
      <c r="C103" s="29"/>
      <c r="D103" s="212"/>
      <c r="E103" s="223"/>
      <c r="F103" s="222"/>
    </row>
    <row r="104" spans="2:6" ht="15" customHeight="1" x14ac:dyDescent="0.25">
      <c r="B104" s="219" t="s">
        <v>104</v>
      </c>
      <c r="C104" s="29"/>
      <c r="D104" s="212"/>
      <c r="E104" s="223"/>
      <c r="F104" s="222"/>
    </row>
    <row r="105" spans="2:6" ht="15" customHeight="1" x14ac:dyDescent="0.25">
      <c r="B105" s="219" t="s">
        <v>105</v>
      </c>
      <c r="C105" s="29"/>
      <c r="D105" s="212"/>
      <c r="E105" s="223"/>
      <c r="F105" s="222"/>
    </row>
    <row r="106" spans="2:6" ht="15" customHeight="1" x14ac:dyDescent="0.25">
      <c r="B106" s="219" t="s">
        <v>106</v>
      </c>
      <c r="C106" s="29"/>
      <c r="D106" s="212"/>
      <c r="E106" s="223"/>
      <c r="F106" s="222"/>
    </row>
    <row r="107" spans="2:6" ht="15" customHeight="1" x14ac:dyDescent="0.25">
      <c r="B107" s="219" t="s">
        <v>107</v>
      </c>
      <c r="C107" s="29"/>
      <c r="D107" s="212"/>
      <c r="E107" s="223"/>
      <c r="F107" s="222"/>
    </row>
    <row r="108" spans="2:6" ht="15" customHeight="1" x14ac:dyDescent="0.25">
      <c r="B108" s="219" t="s">
        <v>108</v>
      </c>
      <c r="C108" s="29"/>
      <c r="D108" s="212"/>
      <c r="E108" s="223"/>
      <c r="F108" s="222"/>
    </row>
    <row r="109" spans="2:6" ht="15" customHeight="1" x14ac:dyDescent="0.25">
      <c r="B109" s="219" t="s">
        <v>109</v>
      </c>
      <c r="C109" s="29"/>
      <c r="D109" s="212"/>
      <c r="E109" s="223"/>
      <c r="F109" s="222"/>
    </row>
    <row r="110" spans="2:6" ht="15" customHeight="1" x14ac:dyDescent="0.25">
      <c r="B110" s="219" t="s">
        <v>110</v>
      </c>
      <c r="C110" s="29"/>
      <c r="D110" s="212"/>
      <c r="E110" s="223"/>
      <c r="F110" s="222"/>
    </row>
    <row r="111" spans="2:6" ht="15" customHeight="1" x14ac:dyDescent="0.25">
      <c r="B111" s="219" t="s">
        <v>111</v>
      </c>
      <c r="C111" s="29"/>
      <c r="D111" s="212"/>
      <c r="E111" s="223"/>
      <c r="F111" s="222"/>
    </row>
    <row r="112" spans="2:6" ht="15" customHeight="1" x14ac:dyDescent="0.25">
      <c r="B112" s="219" t="s">
        <v>112</v>
      </c>
      <c r="C112" s="29"/>
      <c r="D112" s="212"/>
      <c r="E112" s="223"/>
      <c r="F112" s="222"/>
    </row>
    <row r="113" spans="2:6" ht="15" customHeight="1" x14ac:dyDescent="0.25">
      <c r="B113" s="219" t="s">
        <v>113</v>
      </c>
      <c r="C113" s="29"/>
      <c r="D113" s="212"/>
      <c r="E113" s="223"/>
      <c r="F113" s="222"/>
    </row>
    <row r="114" spans="2:6" ht="15" customHeight="1" x14ac:dyDescent="0.25">
      <c r="B114" s="219" t="s">
        <v>114</v>
      </c>
      <c r="C114" s="29"/>
      <c r="D114" s="212"/>
      <c r="E114" s="223"/>
      <c r="F114" s="222"/>
    </row>
    <row r="115" spans="2:6" x14ac:dyDescent="0.25">
      <c r="B115" s="219" t="s">
        <v>115</v>
      </c>
      <c r="C115" s="29"/>
      <c r="D115" s="212"/>
      <c r="E115" s="223"/>
      <c r="F115" s="222"/>
    </row>
    <row r="116" spans="2:6" x14ac:dyDescent="0.25">
      <c r="B116" s="219" t="s">
        <v>116</v>
      </c>
      <c r="C116" s="29"/>
      <c r="D116" s="212"/>
      <c r="E116" s="223"/>
      <c r="F116" s="222"/>
    </row>
  </sheetData>
  <sheetProtection password="CBF1" sheet="1" objects="1" scenarios="1" formatCells="0" formatColumns="0" formatRows="0"/>
  <mergeCells count="2">
    <mergeCell ref="E5:E7"/>
    <mergeCell ref="F5:F7"/>
  </mergeCells>
  <dataValidations count="2">
    <dataValidation type="list" allowBlank="1" showInputMessage="1" showErrorMessage="1" sqref="C4">
      <formula1>TimeZoneList</formula1>
    </dataValidation>
    <dataValidation type="list" allowBlank="1" showInputMessage="1" showErrorMessage="1" sqref="C5">
      <formula1>Countries</formula1>
    </dataValidation>
  </dataValidations>
  <hyperlinks>
    <hyperlink ref="M10" r:id="rId1"/>
  </hyperlinks>
  <pageMargins left="0.2" right="0.2" top="0.25" bottom="0.25" header="0.3" footer="0.3"/>
  <pageSetup fitToHeight="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R169"/>
  <sheetViews>
    <sheetView showGridLines="0" tabSelected="1" zoomScaleNormal="100" workbookViewId="0">
      <pane ySplit="3" topLeftCell="A4" activePane="bottomLeft" state="frozen"/>
      <selection activeCell="H10" sqref="H10"/>
      <selection pane="bottomLeft" activeCell="N8" sqref="N8"/>
    </sheetView>
  </sheetViews>
  <sheetFormatPr defaultColWidth="9.08984375" defaultRowHeight="14.5" zeroHeight="1" x14ac:dyDescent="0.35"/>
  <cols>
    <col min="1" max="1" width="1.6328125" style="88" customWidth="1"/>
    <col min="2" max="2" width="3.6328125" style="88" customWidth="1"/>
    <col min="3" max="3" width="5.6328125" style="88" customWidth="1"/>
    <col min="4" max="4" width="6.6328125" style="101" customWidth="1"/>
    <col min="5" max="5" width="6.81640625" style="102" customWidth="1"/>
    <col min="6" max="6" width="18.6328125" style="103" customWidth="1"/>
    <col min="7" max="7" width="4.1796875" style="103" customWidth="1"/>
    <col min="8" max="9" width="3.1796875" style="88" customWidth="1"/>
    <col min="10" max="10" width="4.1796875" style="103" customWidth="1"/>
    <col min="11" max="11" width="18.6328125" style="104" customWidth="1"/>
    <col min="12" max="13" width="3.1796875" style="104" customWidth="1"/>
    <col min="14" max="14" width="25.36328125" style="88" bestFit="1" customWidth="1"/>
    <col min="15" max="15" width="0.81640625" style="88" customWidth="1"/>
    <col min="16" max="16" width="2.6328125" style="88" customWidth="1"/>
    <col min="17" max="17" width="15.6328125" style="88" customWidth="1"/>
    <col min="18" max="21" width="2.6328125" style="50" customWidth="1"/>
    <col min="22" max="22" width="6.6328125" style="50" customWidth="1"/>
    <col min="23" max="23" width="3.6328125" style="50" customWidth="1"/>
    <col min="24" max="24" width="1.6328125" style="105" customWidth="1"/>
    <col min="25" max="25" width="0.81640625" style="7" customWidth="1"/>
    <col min="26" max="26" width="1.6328125" style="88" customWidth="1"/>
    <col min="27" max="27" width="2.6328125" style="88" customWidth="1"/>
    <col min="28" max="28" width="14.1796875" style="88" customWidth="1"/>
    <col min="29" max="29" width="1.1796875" style="88" customWidth="1"/>
    <col min="30" max="30" width="5.7265625" style="88" customWidth="1"/>
    <col min="31" max="92" width="9.08984375" style="88" customWidth="1"/>
    <col min="93" max="96" width="9.08984375" style="50" customWidth="1"/>
    <col min="97" max="16384" width="9.08984375" style="88"/>
  </cols>
  <sheetData>
    <row r="1" spans="2:96" s="1" customFormat="1" ht="5" customHeight="1" x14ac:dyDescent="0.35">
      <c r="D1" s="3"/>
      <c r="E1" s="32"/>
      <c r="F1" s="5"/>
      <c r="G1" s="5"/>
      <c r="J1" s="5"/>
      <c r="K1" s="2"/>
      <c r="L1" s="2"/>
      <c r="M1" s="2"/>
      <c r="R1" s="6"/>
      <c r="S1" s="6"/>
      <c r="T1" s="6"/>
      <c r="U1" s="6"/>
      <c r="V1" s="6"/>
      <c r="W1" s="6"/>
      <c r="X1" s="7"/>
      <c r="Y1" s="7"/>
      <c r="CO1" s="6"/>
      <c r="CP1" s="6"/>
      <c r="CQ1" s="6"/>
      <c r="CR1" s="6"/>
    </row>
    <row r="2" spans="2:96" s="16" customFormat="1" ht="36" x14ac:dyDescent="0.25">
      <c r="B2" s="33" t="str">
        <f>UPPER(INDEX(Translation,MATCH("World Cup 2022 Fixtures",TransRef,0),MATCH(Setup!C5,LanguageRef,0)))</f>
        <v>WORLD CUP 2022 SCHEDULE</v>
      </c>
      <c r="D2" s="13"/>
      <c r="F2" s="15"/>
      <c r="G2" s="15"/>
      <c r="J2" s="15"/>
      <c r="K2" s="17"/>
      <c r="L2" s="17"/>
      <c r="M2" s="17"/>
      <c r="N2" s="264" t="s">
        <v>749</v>
      </c>
      <c r="O2" s="264"/>
      <c r="P2" s="264"/>
      <c r="Q2" s="264"/>
      <c r="R2" s="264"/>
      <c r="S2" s="264"/>
      <c r="T2" s="264"/>
      <c r="U2" s="264"/>
      <c r="V2" s="264"/>
      <c r="W2" s="264"/>
      <c r="X2" s="19"/>
      <c r="Y2" s="118"/>
      <c r="AA2" s="263" t="s">
        <v>718</v>
      </c>
      <c r="AB2" s="263"/>
      <c r="AC2" s="263"/>
      <c r="AD2" s="263"/>
      <c r="AE2" s="263"/>
      <c r="AF2" s="263"/>
      <c r="AG2" s="263"/>
      <c r="AH2" s="263"/>
      <c r="AI2" s="263"/>
      <c r="AJ2" s="263"/>
      <c r="CO2" s="24"/>
      <c r="CP2" s="24"/>
      <c r="CQ2" s="24"/>
      <c r="CR2" s="24"/>
    </row>
    <row r="3" spans="2:96" s="42" customFormat="1" ht="14.5" customHeight="1" x14ac:dyDescent="0.35">
      <c r="B3" s="34" t="str">
        <f>INDEX(Translation,MATCH("Match #",TransRef,0),MATCH(Setup!C5,LanguageRef,0))</f>
        <v>Match #</v>
      </c>
      <c r="C3" s="35"/>
      <c r="D3" s="36" t="str">
        <f>INDEX(Translation,MATCH("Date",TransRef,0),MATCH(Setup!C5,LanguageRef,0))</f>
        <v>Date</v>
      </c>
      <c r="E3" s="35" t="str">
        <f>INDEX(Translation,MATCH("Time",TransRef,0),MATCH(Setup!C5,LanguageRef,0))</f>
        <v>Time</v>
      </c>
      <c r="F3" s="37" t="str">
        <f>INDEX(Translation,MATCH("Country",TransRef,0),MATCH(Setup!C5,LanguageRef,0))</f>
        <v>Country</v>
      </c>
      <c r="G3" s="37"/>
      <c r="H3" s="267" t="str">
        <f>INDEX(Translation,MATCH("Score",TransRef,0),MATCH(Setup!C5,LanguageRef,0))</f>
        <v>Score</v>
      </c>
      <c r="I3" s="267"/>
      <c r="J3" s="37"/>
      <c r="K3" s="38" t="str">
        <f>INDEX(Translation,MATCH("Country",TransRef,0),MATCH(Setup!C5,LanguageRef,0))</f>
        <v>Country</v>
      </c>
      <c r="L3" s="38"/>
      <c r="M3" s="38"/>
      <c r="N3" s="39" t="str">
        <f>INDEX(Translation,MATCH("Venue",TransRef,0),MATCH(Setup!C5,LanguageRef,0))</f>
        <v>Venue</v>
      </c>
      <c r="O3" s="40"/>
      <c r="P3" s="39" t="str">
        <f>INDEX(Translation,MATCH("Standings",TransRef,0),MATCH(Setup!C5,LanguageRef,0))</f>
        <v>Standings</v>
      </c>
      <c r="Q3" s="41"/>
      <c r="R3" s="41"/>
      <c r="S3" s="41"/>
      <c r="T3" s="41"/>
      <c r="U3" s="41"/>
      <c r="V3" s="41"/>
      <c r="W3" s="41"/>
      <c r="X3" s="19"/>
      <c r="Y3" s="118"/>
      <c r="CQ3" s="43"/>
    </row>
    <row r="4" spans="2:96" s="16" customFormat="1" ht="14.5" customHeight="1" x14ac:dyDescent="0.35">
      <c r="B4" s="44" t="str">
        <f>INDEX(Translation,MATCH("Group Stages",TransRef,0),MATCH(Setup!C5,LanguageRef,0))</f>
        <v>Group Stages</v>
      </c>
      <c r="C4" s="44"/>
      <c r="D4" s="45"/>
      <c r="E4" s="44"/>
      <c r="F4" s="46"/>
      <c r="G4" s="46"/>
      <c r="H4" s="44"/>
      <c r="I4" s="44"/>
      <c r="J4" s="46"/>
      <c r="K4" s="47"/>
      <c r="L4" s="47"/>
      <c r="M4" s="47"/>
      <c r="N4" s="48"/>
      <c r="O4" s="18"/>
      <c r="P4" s="259" t="str">
        <f>INDEX(Translation,MATCH("Group A",TransRef,0),MATCH(Setup!$C$5,LanguageRef,0))</f>
        <v>Group A</v>
      </c>
      <c r="Q4" s="259"/>
      <c r="R4" s="49" t="s">
        <v>117</v>
      </c>
      <c r="S4" s="49" t="s">
        <v>118</v>
      </c>
      <c r="T4" s="49" t="s">
        <v>119</v>
      </c>
      <c r="U4" s="49" t="s">
        <v>120</v>
      </c>
      <c r="V4" s="49" t="s">
        <v>121</v>
      </c>
      <c r="W4" s="49" t="s">
        <v>122</v>
      </c>
      <c r="X4" s="19"/>
      <c r="Y4" s="118"/>
      <c r="AA4" s="119" t="s">
        <v>151</v>
      </c>
      <c r="AC4" s="13"/>
      <c r="AE4" s="15"/>
      <c r="AF4" s="15"/>
      <c r="CO4" s="24"/>
      <c r="CP4" s="24"/>
      <c r="CQ4" s="50"/>
      <c r="CR4" s="24"/>
    </row>
    <row r="5" spans="2:96" s="16" customFormat="1" ht="14.5" customHeight="1" x14ac:dyDescent="0.35">
      <c r="B5" s="51">
        <v>1</v>
      </c>
      <c r="C5" s="52" t="s">
        <v>123</v>
      </c>
      <c r="D5" s="53">
        <f t="shared" ref="D5:D68" si="0">E5</f>
        <v>44885.791666666664</v>
      </c>
      <c r="E5" s="54">
        <f>Calculator!BX7</f>
        <v>44885.791666666664</v>
      </c>
      <c r="F5" s="55" t="str">
        <f>INDEX(Translation,MATCH(Setup!B10,TransRef,0),MATCH(Setup!$C$5,LanguageRef,0))</f>
        <v>Qatar</v>
      </c>
      <c r="G5" s="55"/>
      <c r="H5" s="225"/>
      <c r="I5" s="226"/>
      <c r="J5" s="55"/>
      <c r="K5" s="56" t="str">
        <f>INDEX(Translation,MATCH(Setup!B11,TransRef,0),MATCH(Setup!$C$5,LanguageRef,0))</f>
        <v>Ecuador</v>
      </c>
      <c r="L5" s="56"/>
      <c r="M5" s="56"/>
      <c r="N5" s="57" t="s">
        <v>127</v>
      </c>
      <c r="O5" s="18"/>
      <c r="P5" s="124">
        <v>1</v>
      </c>
      <c r="Q5" s="125" t="str">
        <f>INDEX(Calculator!$U$4:$U$7,MATCH(1,Calculator!$BK$4:$BK$7,0),0)</f>
        <v>Netherlands</v>
      </c>
      <c r="R5" s="124">
        <f>VLOOKUP($Q5,Calculator!$C$4:$K$35,2,FALSE)</f>
        <v>0</v>
      </c>
      <c r="S5" s="124">
        <f>VLOOKUP($Q5,Calculator!$C$4:$K$35,3,FALSE)</f>
        <v>0</v>
      </c>
      <c r="T5" s="124">
        <f>VLOOKUP($Q5,Calculator!$C$4:$K$35,4,FALSE)</f>
        <v>0</v>
      </c>
      <c r="U5" s="124">
        <f>VLOOKUP($Q5,Calculator!$C$4:$K$35,5,FALSE)</f>
        <v>0</v>
      </c>
      <c r="V5" s="124" t="str">
        <f>VLOOKUP($Q5,Calculator!$C$4:$K$35,6,FALSE)&amp;" - "&amp;VLOOKUP($Q5,Calculator!$C$4:$K$35,7,FALSE)</f>
        <v>0 - 0</v>
      </c>
      <c r="W5" s="124">
        <f>VLOOKUP($Q5,Calculator!$C$4:$K$35,9,FALSE)</f>
        <v>0</v>
      </c>
      <c r="X5" s="19"/>
      <c r="Y5" s="118"/>
      <c r="AA5" s="23" t="s">
        <v>693</v>
      </c>
      <c r="AF5" s="15"/>
      <c r="CO5" s="24"/>
      <c r="CP5" s="24"/>
      <c r="CQ5" s="50"/>
      <c r="CR5" s="24"/>
    </row>
    <row r="6" spans="2:96" s="16" customFormat="1" ht="14.5" customHeight="1" x14ac:dyDescent="0.35">
      <c r="B6" s="51">
        <v>3</v>
      </c>
      <c r="C6" s="58" t="s">
        <v>125</v>
      </c>
      <c r="D6" s="59">
        <f t="shared" si="0"/>
        <v>44886.666666666664</v>
      </c>
      <c r="E6" s="60">
        <f>Calculator!BX8</f>
        <v>44886.666666666664</v>
      </c>
      <c r="F6" s="61" t="str">
        <f>INDEX(Translation,MATCH(Setup!B12,TransRef,0),MATCH(Setup!$C$5,LanguageRef,0))</f>
        <v>England</v>
      </c>
      <c r="G6" s="61"/>
      <c r="H6" s="227"/>
      <c r="I6" s="228"/>
      <c r="J6" s="61"/>
      <c r="K6" s="62" t="str">
        <f>INDEX(Translation,MATCH(Setup!B13,TransRef,0),MATCH(Setup!$C$5,LanguageRef,0))</f>
        <v>Iran</v>
      </c>
      <c r="L6" s="62"/>
      <c r="M6" s="62"/>
      <c r="N6" s="63" t="s">
        <v>126</v>
      </c>
      <c r="O6" s="18"/>
      <c r="P6" s="124">
        <v>2</v>
      </c>
      <c r="Q6" s="125" t="str">
        <f>INDEX(Calculator!$U$4:$U$7,MATCH(2,Calculator!$BK$4:$BK$7,0),0)</f>
        <v>Senegal</v>
      </c>
      <c r="R6" s="124">
        <f>VLOOKUP($Q6,Calculator!$C$4:$K$35,2,FALSE)</f>
        <v>0</v>
      </c>
      <c r="S6" s="124">
        <f>VLOOKUP($Q6,Calculator!$C$4:$K$35,3,FALSE)</f>
        <v>0</v>
      </c>
      <c r="T6" s="124">
        <f>VLOOKUP($Q6,Calculator!$C$4:$K$35,4,FALSE)</f>
        <v>0</v>
      </c>
      <c r="U6" s="124">
        <f>VLOOKUP($Q6,Calculator!$C$4:$K$35,5,FALSE)</f>
        <v>0</v>
      </c>
      <c r="V6" s="124" t="str">
        <f>VLOOKUP($Q6,Calculator!$C$4:$K$35,6,FALSE)&amp;" - "&amp;VLOOKUP($Q6,Calculator!$C$4:$K$35,7,FALSE)</f>
        <v>0 - 0</v>
      </c>
      <c r="W6" s="124">
        <f>VLOOKUP($Q6,Calculator!$C$4:$K$35,9,FALSE)</f>
        <v>0</v>
      </c>
      <c r="X6" s="19"/>
      <c r="Y6" s="118"/>
      <c r="AA6" s="120" t="s">
        <v>694</v>
      </c>
      <c r="AE6" s="121" t="s">
        <v>695</v>
      </c>
      <c r="AF6" s="15"/>
      <c r="CO6" s="24"/>
      <c r="CP6" s="24"/>
      <c r="CQ6" s="50"/>
      <c r="CR6" s="24"/>
    </row>
    <row r="7" spans="2:96" s="16" customFormat="1" ht="14.5" customHeight="1" x14ac:dyDescent="0.35">
      <c r="B7" s="51">
        <v>2</v>
      </c>
      <c r="C7" s="64" t="s">
        <v>123</v>
      </c>
      <c r="D7" s="65">
        <f t="shared" si="0"/>
        <v>44886.791666666664</v>
      </c>
      <c r="E7" s="66">
        <f>Calculator!BX9</f>
        <v>44886.791666666664</v>
      </c>
      <c r="F7" s="67" t="str">
        <f>INDEX(Translation,MATCH(Setup!B8,TransRef,0),MATCH(Setup!$C$5,LanguageRef,0))</f>
        <v>Senegal</v>
      </c>
      <c r="G7" s="67"/>
      <c r="H7" s="227"/>
      <c r="I7" s="228"/>
      <c r="J7" s="67"/>
      <c r="K7" s="16" t="str">
        <f>INDEX(Translation,MATCH(Setup!B9,TransRef,0),MATCH(Setup!$C$5,LanguageRef,0))</f>
        <v>Netherlands</v>
      </c>
      <c r="N7" s="68" t="s">
        <v>124</v>
      </c>
      <c r="O7" s="18"/>
      <c r="P7" s="69">
        <v>3</v>
      </c>
      <c r="Q7" s="70" t="str">
        <f>INDEX(Calculator!$U$4:$U$7,MATCH(3,Calculator!$BK$4:$BK$7,0),0)</f>
        <v>Ecuador</v>
      </c>
      <c r="R7" s="69">
        <f>VLOOKUP($Q7,Calculator!$C$4:$K$35,2,FALSE)</f>
        <v>0</v>
      </c>
      <c r="S7" s="69">
        <f>VLOOKUP($Q7,Calculator!$C$4:$K$35,3,FALSE)</f>
        <v>0</v>
      </c>
      <c r="T7" s="69">
        <f>VLOOKUP($Q7,Calculator!$C$4:$K$35,4,FALSE)</f>
        <v>0</v>
      </c>
      <c r="U7" s="69">
        <f>VLOOKUP($Q7,Calculator!$C$4:$K$35,5,FALSE)</f>
        <v>0</v>
      </c>
      <c r="V7" s="69" t="str">
        <f>VLOOKUP($Q7,Calculator!$C$4:$K$35,6,FALSE)&amp;" - "&amp;VLOOKUP($Q7,Calculator!$C$4:$K$35,7,FALSE)</f>
        <v>0 - 0</v>
      </c>
      <c r="W7" s="69">
        <f>VLOOKUP($Q7,Calculator!$C$4:$K$35,9,FALSE)</f>
        <v>0</v>
      </c>
      <c r="X7" s="19"/>
      <c r="Y7" s="118"/>
      <c r="AA7" s="23" t="s">
        <v>696</v>
      </c>
      <c r="CO7" s="24"/>
      <c r="CP7" s="24"/>
      <c r="CQ7" s="50"/>
      <c r="CR7" s="24"/>
    </row>
    <row r="8" spans="2:96" s="16" customFormat="1" ht="14.5" customHeight="1" x14ac:dyDescent="0.35">
      <c r="B8" s="51">
        <v>4</v>
      </c>
      <c r="C8" s="58" t="s">
        <v>125</v>
      </c>
      <c r="D8" s="59">
        <f t="shared" si="0"/>
        <v>44886.916666666664</v>
      </c>
      <c r="E8" s="60">
        <f>Calculator!BX10</f>
        <v>44886.916666666664</v>
      </c>
      <c r="F8" s="61" t="str">
        <f>INDEX(Translation,MATCH(Setup!B14,TransRef,0),MATCH(Setup!$C$5,LanguageRef,0))</f>
        <v>United States</v>
      </c>
      <c r="G8" s="61"/>
      <c r="H8" s="227"/>
      <c r="I8" s="228"/>
      <c r="J8" s="61"/>
      <c r="K8" s="62" t="str">
        <f>INDEX(Translation,MATCH(Setup!B15,TransRef,0),MATCH(Setup!$C$5,LanguageRef,0))</f>
        <v>Wales</v>
      </c>
      <c r="L8" s="62"/>
      <c r="M8" s="62"/>
      <c r="N8" s="63" t="s">
        <v>128</v>
      </c>
      <c r="O8" s="18"/>
      <c r="P8" s="69">
        <v>4</v>
      </c>
      <c r="Q8" s="70" t="str">
        <f>INDEX(Calculator!$U$4:$U$7,MATCH(4,Calculator!$BK$4:$BK$7,0),0)</f>
        <v>Qatar</v>
      </c>
      <c r="R8" s="69">
        <f>VLOOKUP($Q8,Calculator!$C$4:$K$35,2,FALSE)</f>
        <v>0</v>
      </c>
      <c r="S8" s="69">
        <f>VLOOKUP($Q8,Calculator!$C$4:$K$35,3,FALSE)</f>
        <v>0</v>
      </c>
      <c r="T8" s="69">
        <f>VLOOKUP($Q8,Calculator!$C$4:$K$35,4,FALSE)</f>
        <v>0</v>
      </c>
      <c r="U8" s="69">
        <f>VLOOKUP($Q8,Calculator!$C$4:$K$35,5,FALSE)</f>
        <v>0</v>
      </c>
      <c r="V8" s="69" t="str">
        <f>VLOOKUP($Q8,Calculator!$C$4:$K$35,6,FALSE)&amp;" - "&amp;VLOOKUP($Q8,Calculator!$C$4:$K$35,7,FALSE)</f>
        <v>0 - 0</v>
      </c>
      <c r="W8" s="69">
        <f>VLOOKUP($Q8,Calculator!$C$4:$K$35,9,FALSE)</f>
        <v>0</v>
      </c>
      <c r="X8" s="19"/>
      <c r="Y8" s="118"/>
      <c r="AA8" s="64" t="s">
        <v>152</v>
      </c>
      <c r="AB8" s="16" t="s">
        <v>632</v>
      </c>
      <c r="AC8" s="13"/>
      <c r="AE8" s="15"/>
      <c r="AF8" s="15"/>
      <c r="CO8" s="24"/>
      <c r="CP8" s="24"/>
      <c r="CQ8" s="50"/>
      <c r="CR8" s="24"/>
    </row>
    <row r="9" spans="2:96" s="16" customFormat="1" ht="14.5" customHeight="1" x14ac:dyDescent="0.35">
      <c r="B9" s="51">
        <v>8</v>
      </c>
      <c r="C9" s="64" t="s">
        <v>129</v>
      </c>
      <c r="D9" s="65">
        <f t="shared" si="0"/>
        <v>44887.541666666664</v>
      </c>
      <c r="E9" s="66">
        <f>Calculator!BX11</f>
        <v>44887.541666666664</v>
      </c>
      <c r="F9" s="67" t="str">
        <f>INDEX(Translation,MATCH(Setup!B16,TransRef,0),MATCH(Setup!$C$5,LanguageRef,0))</f>
        <v>Argentina</v>
      </c>
      <c r="G9" s="67"/>
      <c r="H9" s="227"/>
      <c r="I9" s="228"/>
      <c r="J9" s="67"/>
      <c r="K9" s="16" t="str">
        <f>INDEX(Translation,MATCH(Setup!B17,TransRef,0),MATCH(Setup!$C$5,LanguageRef,0))</f>
        <v>Saudi Arabia</v>
      </c>
      <c r="N9" s="68" t="s">
        <v>130</v>
      </c>
      <c r="O9" s="18"/>
      <c r="P9" s="40"/>
      <c r="Q9" s="71"/>
      <c r="R9" s="18"/>
      <c r="S9" s="18"/>
      <c r="T9" s="18"/>
      <c r="U9" s="18"/>
      <c r="V9" s="18"/>
      <c r="W9" s="18"/>
      <c r="X9" s="19"/>
      <c r="Y9" s="118"/>
      <c r="AA9" s="64" t="s">
        <v>152</v>
      </c>
      <c r="AB9" s="16" t="s">
        <v>633</v>
      </c>
      <c r="AC9" s="13"/>
      <c r="AE9" s="15"/>
      <c r="AF9" s="15"/>
      <c r="CO9" s="24"/>
      <c r="CP9" s="24"/>
      <c r="CQ9" s="50"/>
      <c r="CR9" s="24"/>
    </row>
    <row r="10" spans="2:96" s="16" customFormat="1" ht="14.5" customHeight="1" x14ac:dyDescent="0.35">
      <c r="B10" s="51">
        <v>6</v>
      </c>
      <c r="C10" s="58" t="s">
        <v>119</v>
      </c>
      <c r="D10" s="59">
        <f t="shared" si="0"/>
        <v>44887.666666666664</v>
      </c>
      <c r="E10" s="60">
        <f>Calculator!BX12</f>
        <v>44887.666666666664</v>
      </c>
      <c r="F10" s="61" t="str">
        <f>INDEX(Translation,MATCH(Setup!B20,TransRef,0),MATCH(Setup!$C$5,LanguageRef,0))</f>
        <v>Denmark</v>
      </c>
      <c r="G10" s="61"/>
      <c r="H10" s="227"/>
      <c r="I10" s="228"/>
      <c r="J10" s="61"/>
      <c r="K10" s="62" t="str">
        <f>INDEX(Translation,MATCH(Setup!B21,TransRef,0),MATCH(Setup!$C$5,LanguageRef,0))</f>
        <v>Tunisia</v>
      </c>
      <c r="L10" s="62"/>
      <c r="M10" s="62"/>
      <c r="N10" s="63" t="s">
        <v>131</v>
      </c>
      <c r="O10" s="18"/>
      <c r="P10" s="259" t="str">
        <f>INDEX(Translation,MATCH("Group B",TransRef,0),MATCH(Setup!$C$5,LanguageRef,0))</f>
        <v>Group B</v>
      </c>
      <c r="Q10" s="259"/>
      <c r="R10" s="49" t="s">
        <v>117</v>
      </c>
      <c r="S10" s="49" t="s">
        <v>118</v>
      </c>
      <c r="T10" s="49" t="s">
        <v>119</v>
      </c>
      <c r="U10" s="49" t="s">
        <v>120</v>
      </c>
      <c r="V10" s="49" t="s">
        <v>121</v>
      </c>
      <c r="W10" s="49" t="s">
        <v>122</v>
      </c>
      <c r="X10" s="19"/>
      <c r="Y10" s="118"/>
      <c r="AA10" s="64" t="s">
        <v>152</v>
      </c>
      <c r="AB10" s="16" t="s">
        <v>634</v>
      </c>
      <c r="AC10" s="13"/>
      <c r="AE10" s="15"/>
      <c r="AF10" s="15"/>
      <c r="CO10" s="24"/>
      <c r="CP10" s="24"/>
      <c r="CQ10" s="50"/>
      <c r="CR10" s="24"/>
    </row>
    <row r="11" spans="2:96" s="16" customFormat="1" ht="14.5" customHeight="1" x14ac:dyDescent="0.35">
      <c r="B11" s="51">
        <v>7</v>
      </c>
      <c r="C11" s="64" t="s">
        <v>129</v>
      </c>
      <c r="D11" s="65">
        <f t="shared" si="0"/>
        <v>44887.791666666664</v>
      </c>
      <c r="E11" s="66">
        <f>Calculator!BX13</f>
        <v>44887.791666666664</v>
      </c>
      <c r="F11" s="67" t="str">
        <f>INDEX(Translation,MATCH(Setup!B18,TransRef,0),MATCH(Setup!$C$5,LanguageRef,0))</f>
        <v>Mexico</v>
      </c>
      <c r="G11" s="67"/>
      <c r="H11" s="227"/>
      <c r="I11" s="228"/>
      <c r="J11" s="67"/>
      <c r="K11" s="16" t="str">
        <f>INDEX(Translation,MATCH(Setup!B19,TransRef,0),MATCH(Setup!$C$5,LanguageRef,0))</f>
        <v>Poland</v>
      </c>
      <c r="N11" s="68" t="s">
        <v>132</v>
      </c>
      <c r="O11" s="18"/>
      <c r="P11" s="126">
        <v>1</v>
      </c>
      <c r="Q11" s="127" t="str">
        <f>INDEX(Calculator!$U$8:$U$11,MATCH(1,Calculator!$BK$8:$BK$11,0),0)</f>
        <v>England</v>
      </c>
      <c r="R11" s="126">
        <f>VLOOKUP($Q11,Calculator!$C$4:$K$35,2,FALSE)</f>
        <v>0</v>
      </c>
      <c r="S11" s="126">
        <f>VLOOKUP($Q11,Calculator!$C$4:$K$35,3,FALSE)</f>
        <v>0</v>
      </c>
      <c r="T11" s="126">
        <f>VLOOKUP($Q11,Calculator!$C$4:$K$35,4,FALSE)</f>
        <v>0</v>
      </c>
      <c r="U11" s="126">
        <f>VLOOKUP($Q11,Calculator!$C$4:$K$35,5,FALSE)</f>
        <v>0</v>
      </c>
      <c r="V11" s="126" t="str">
        <f>VLOOKUP($Q11,Calculator!$C$4:$K$35,6,FALSE)&amp;" - "&amp;VLOOKUP($Q11,Calculator!$C$4:$K$35,7,FALSE)</f>
        <v>0 - 0</v>
      </c>
      <c r="W11" s="126">
        <f>VLOOKUP($Q11,Calculator!$C$4:$K$35,9,FALSE)</f>
        <v>0</v>
      </c>
      <c r="X11" s="19"/>
      <c r="Y11" s="118"/>
      <c r="AA11" s="64" t="s">
        <v>152</v>
      </c>
      <c r="AB11" s="16" t="s">
        <v>153</v>
      </c>
      <c r="AC11" s="13"/>
      <c r="AE11" s="15"/>
      <c r="AF11" s="103"/>
      <c r="CO11" s="24"/>
      <c r="CP11" s="72"/>
      <c r="CQ11" s="50"/>
      <c r="CR11" s="24"/>
    </row>
    <row r="12" spans="2:96" s="16" customFormat="1" ht="14.5" customHeight="1" x14ac:dyDescent="0.35">
      <c r="B12" s="51">
        <v>5</v>
      </c>
      <c r="C12" s="58" t="s">
        <v>119</v>
      </c>
      <c r="D12" s="59">
        <f t="shared" si="0"/>
        <v>44887.916666666664</v>
      </c>
      <c r="E12" s="60">
        <f>Calculator!BX14</f>
        <v>44887.916666666664</v>
      </c>
      <c r="F12" s="61" t="str">
        <f>INDEX(Translation,MATCH(Setup!B22,TransRef,0),MATCH(Setup!$C$5,LanguageRef,0))</f>
        <v>France</v>
      </c>
      <c r="G12" s="61"/>
      <c r="H12" s="227"/>
      <c r="I12" s="228"/>
      <c r="J12" s="61"/>
      <c r="K12" s="62" t="str">
        <f>INDEX(Translation,MATCH(Setup!B23,TransRef,0),MATCH(Setup!$C$5,LanguageRef,0))</f>
        <v>Australia</v>
      </c>
      <c r="L12" s="62"/>
      <c r="M12" s="62"/>
      <c r="N12" s="63" t="s">
        <v>133</v>
      </c>
      <c r="O12" s="18"/>
      <c r="P12" s="126">
        <v>2</v>
      </c>
      <c r="Q12" s="127" t="str">
        <f>INDEX(Calculator!$U$8:$U$11,MATCH(2,Calculator!$BK$8:$BK$11,0),0)</f>
        <v>United States</v>
      </c>
      <c r="R12" s="126">
        <f>VLOOKUP($Q12,Calculator!$C$4:$K$35,2,FALSE)</f>
        <v>0</v>
      </c>
      <c r="S12" s="126">
        <f>VLOOKUP($Q12,Calculator!$C$4:$K$35,3,FALSE)</f>
        <v>0</v>
      </c>
      <c r="T12" s="126">
        <f>VLOOKUP($Q12,Calculator!$C$4:$K$35,4,FALSE)</f>
        <v>0</v>
      </c>
      <c r="U12" s="126">
        <f>VLOOKUP($Q12,Calculator!$C$4:$K$35,5,FALSE)</f>
        <v>0</v>
      </c>
      <c r="V12" s="126" t="str">
        <f>VLOOKUP($Q12,Calculator!$C$4:$K$35,6,FALSE)&amp;" - "&amp;VLOOKUP($Q12,Calculator!$C$4:$K$35,7,FALSE)</f>
        <v>0 - 0</v>
      </c>
      <c r="W12" s="126">
        <f>VLOOKUP($Q12,Calculator!$C$4:$K$35,9,FALSE)</f>
        <v>0</v>
      </c>
      <c r="X12" s="19"/>
      <c r="Y12" s="118"/>
      <c r="AA12" s="16" t="s">
        <v>154</v>
      </c>
      <c r="AC12" s="13"/>
      <c r="AE12" s="103"/>
      <c r="AF12" s="103"/>
      <c r="CO12" s="24"/>
      <c r="CP12" s="24"/>
      <c r="CQ12" s="50"/>
      <c r="CR12" s="24"/>
    </row>
    <row r="13" spans="2:96" s="16" customFormat="1" ht="14.5" customHeight="1" x14ac:dyDescent="0.35">
      <c r="B13" s="51">
        <v>12</v>
      </c>
      <c r="C13" s="64" t="s">
        <v>134</v>
      </c>
      <c r="D13" s="65">
        <f t="shared" si="0"/>
        <v>44888.541666666664</v>
      </c>
      <c r="E13" s="66">
        <f>Calculator!BX15</f>
        <v>44888.541666666664</v>
      </c>
      <c r="F13" s="67" t="str">
        <f>INDEX(Translation,MATCH(Setup!B28,TransRef,0),MATCH(Setup!$C$5,LanguageRef,0))</f>
        <v>Morocco</v>
      </c>
      <c r="G13" s="67"/>
      <c r="H13" s="227"/>
      <c r="I13" s="228"/>
      <c r="J13" s="67"/>
      <c r="K13" s="16" t="str">
        <f>INDEX(Translation,MATCH(Setup!B29,TransRef,0),MATCH(Setup!$C$5,LanguageRef,0))</f>
        <v>Croatia</v>
      </c>
      <c r="N13" s="68" t="s">
        <v>127</v>
      </c>
      <c r="O13" s="18"/>
      <c r="P13" s="69">
        <v>3</v>
      </c>
      <c r="Q13" s="70" t="str">
        <f>INDEX(Calculator!$U$8:$U$11,MATCH(3,Calculator!$BK$8:$BK$11,0),0)</f>
        <v>Wales</v>
      </c>
      <c r="R13" s="69">
        <f>VLOOKUP($Q13,Calculator!$C$4:$K$35,2,FALSE)</f>
        <v>0</v>
      </c>
      <c r="S13" s="69">
        <f>VLOOKUP($Q13,Calculator!$C$4:$K$35,3,FALSE)</f>
        <v>0</v>
      </c>
      <c r="T13" s="69">
        <f>VLOOKUP($Q13,Calculator!$C$4:$K$35,4,FALSE)</f>
        <v>0</v>
      </c>
      <c r="U13" s="69">
        <f>VLOOKUP($Q13,Calculator!$C$4:$K$35,5,FALSE)</f>
        <v>0</v>
      </c>
      <c r="V13" s="69" t="str">
        <f>VLOOKUP($Q13,Calculator!$C$4:$K$35,6,FALSE)&amp;" - "&amp;VLOOKUP($Q13,Calculator!$C$4:$K$35,7,FALSE)</f>
        <v>0 - 0</v>
      </c>
      <c r="W13" s="69">
        <f>VLOOKUP($Q13,Calculator!$C$4:$K$35,9,FALSE)</f>
        <v>0</v>
      </c>
      <c r="X13" s="19"/>
      <c r="Y13" s="118"/>
      <c r="AB13" s="100" t="s">
        <v>155</v>
      </c>
      <c r="AC13" s="101"/>
      <c r="AD13" s="102" t="s">
        <v>630</v>
      </c>
      <c r="AE13" s="103"/>
      <c r="AF13" s="103"/>
      <c r="CO13" s="24"/>
      <c r="CP13" s="24"/>
      <c r="CQ13" s="50"/>
      <c r="CR13" s="24"/>
    </row>
    <row r="14" spans="2:96" s="16" customFormat="1" ht="14.5" customHeight="1" x14ac:dyDescent="0.35">
      <c r="B14" s="51">
        <v>11</v>
      </c>
      <c r="C14" s="58" t="s">
        <v>135</v>
      </c>
      <c r="D14" s="59">
        <f t="shared" si="0"/>
        <v>44888.666666666664</v>
      </c>
      <c r="E14" s="60">
        <f>Calculator!BX16</f>
        <v>44888.666666666664</v>
      </c>
      <c r="F14" s="61" t="str">
        <f>INDEX(Translation,MATCH(Setup!B24,TransRef,0),MATCH(Setup!$C$5,LanguageRef,0))</f>
        <v>Germany</v>
      </c>
      <c r="G14" s="61"/>
      <c r="H14" s="227"/>
      <c r="I14" s="228"/>
      <c r="J14" s="61"/>
      <c r="K14" s="62" t="str">
        <f>INDEX(Translation,MATCH(Setup!B25,TransRef,0),MATCH(Setup!$C$5,LanguageRef,0))</f>
        <v>Japan</v>
      </c>
      <c r="L14" s="62"/>
      <c r="M14" s="62"/>
      <c r="N14" s="63" t="s">
        <v>126</v>
      </c>
      <c r="O14" s="18"/>
      <c r="P14" s="69">
        <v>4</v>
      </c>
      <c r="Q14" s="70" t="str">
        <f>INDEX(Calculator!$U$8:$U$11,MATCH(4,Calculator!$BK$8:$BK$11,0),0)</f>
        <v>Iran</v>
      </c>
      <c r="R14" s="69">
        <f>VLOOKUP($Q14,Calculator!$C$4:$K$35,2,FALSE)</f>
        <v>0</v>
      </c>
      <c r="S14" s="69">
        <f>VLOOKUP($Q14,Calculator!$C$4:$K$35,3,FALSE)</f>
        <v>0</v>
      </c>
      <c r="T14" s="69">
        <f>VLOOKUP($Q14,Calculator!$C$4:$K$35,4,FALSE)</f>
        <v>0</v>
      </c>
      <c r="U14" s="69">
        <f>VLOOKUP($Q14,Calculator!$C$4:$K$35,5,FALSE)</f>
        <v>0</v>
      </c>
      <c r="V14" s="69" t="str">
        <f>VLOOKUP($Q14,Calculator!$C$4:$K$35,6,FALSE)&amp;" - "&amp;VLOOKUP($Q14,Calculator!$C$4:$K$35,7,FALSE)</f>
        <v>0 - 0</v>
      </c>
      <c r="W14" s="69">
        <f>VLOOKUP($Q14,Calculator!$C$4:$K$35,9,FALSE)</f>
        <v>0</v>
      </c>
      <c r="X14" s="19"/>
      <c r="Y14" s="118"/>
      <c r="AB14" s="107" t="s">
        <v>155</v>
      </c>
      <c r="AC14" s="101"/>
      <c r="AD14" s="102" t="s">
        <v>635</v>
      </c>
      <c r="AE14" s="103"/>
      <c r="CO14" s="24"/>
      <c r="CP14" s="24"/>
      <c r="CQ14" s="50"/>
      <c r="CR14" s="24"/>
    </row>
    <row r="15" spans="2:96" s="16" customFormat="1" ht="14.5" customHeight="1" x14ac:dyDescent="0.35">
      <c r="B15" s="51">
        <v>10</v>
      </c>
      <c r="C15" s="64" t="s">
        <v>135</v>
      </c>
      <c r="D15" s="65">
        <f t="shared" si="0"/>
        <v>44888.791666666664</v>
      </c>
      <c r="E15" s="66">
        <f>Calculator!BX17</f>
        <v>44888.791666666664</v>
      </c>
      <c r="F15" s="67" t="str">
        <f>INDEX(Translation,MATCH(Setup!B26,TransRef,0),MATCH(Setup!$C$5,LanguageRef,0))</f>
        <v>Spain</v>
      </c>
      <c r="G15" s="67"/>
      <c r="H15" s="227"/>
      <c r="I15" s="228"/>
      <c r="J15" s="67"/>
      <c r="K15" s="16" t="str">
        <f>INDEX(Translation,MATCH(Setup!B27,TransRef,0),MATCH(Setup!$C$5,LanguageRef,0))</f>
        <v>Costa Rica</v>
      </c>
      <c r="N15" s="68" t="s">
        <v>124</v>
      </c>
      <c r="O15" s="18"/>
      <c r="P15" s="40"/>
      <c r="Q15" s="71"/>
      <c r="R15" s="18"/>
      <c r="S15" s="18"/>
      <c r="T15" s="18"/>
      <c r="U15" s="18"/>
      <c r="V15" s="18"/>
      <c r="W15" s="18"/>
      <c r="X15" s="19"/>
      <c r="Y15" s="118"/>
      <c r="AB15" s="106" t="s">
        <v>155</v>
      </c>
      <c r="AC15" s="101"/>
      <c r="AD15" s="102" t="s">
        <v>631</v>
      </c>
      <c r="CO15" s="24"/>
      <c r="CP15" s="24"/>
      <c r="CQ15" s="50"/>
      <c r="CR15" s="24"/>
    </row>
    <row r="16" spans="2:96" s="16" customFormat="1" ht="14.5" customHeight="1" x14ac:dyDescent="0.35">
      <c r="B16" s="51">
        <v>9</v>
      </c>
      <c r="C16" s="58" t="s">
        <v>134</v>
      </c>
      <c r="D16" s="59">
        <f t="shared" si="0"/>
        <v>44888.916666666664</v>
      </c>
      <c r="E16" s="60">
        <f>Calculator!BX18</f>
        <v>44888.916666666664</v>
      </c>
      <c r="F16" s="61" t="str">
        <f>INDEX(Translation,MATCH(Setup!B30,TransRef,0),MATCH(Setup!$C$5,LanguageRef,0))</f>
        <v>Belgium</v>
      </c>
      <c r="G16" s="61"/>
      <c r="H16" s="227"/>
      <c r="I16" s="228"/>
      <c r="J16" s="61"/>
      <c r="K16" s="62" t="str">
        <f>INDEX(Translation,MATCH(Setup!B31,TransRef,0),MATCH(Setup!$C$5,LanguageRef,0))</f>
        <v>Canada</v>
      </c>
      <c r="L16" s="62"/>
      <c r="M16" s="62"/>
      <c r="N16" s="63" t="s">
        <v>128</v>
      </c>
      <c r="O16" s="18"/>
      <c r="P16" s="259" t="str">
        <f>INDEX(Translation,MATCH("Group C",TransRef,0),MATCH(Setup!$C$5,LanguageRef,0))</f>
        <v>Group C</v>
      </c>
      <c r="Q16" s="259"/>
      <c r="R16" s="49" t="s">
        <v>117</v>
      </c>
      <c r="S16" s="49" t="s">
        <v>118</v>
      </c>
      <c r="T16" s="49" t="s">
        <v>119</v>
      </c>
      <c r="U16" s="49" t="s">
        <v>120</v>
      </c>
      <c r="V16" s="49" t="s">
        <v>121</v>
      </c>
      <c r="W16" s="49" t="s">
        <v>122</v>
      </c>
      <c r="X16" s="19"/>
      <c r="Y16" s="118"/>
      <c r="CO16" s="24"/>
      <c r="CP16" s="24"/>
      <c r="CQ16" s="50"/>
      <c r="CR16" s="24"/>
    </row>
    <row r="17" spans="2:96" s="16" customFormat="1" ht="14.5" customHeight="1" x14ac:dyDescent="0.35">
      <c r="B17" s="51">
        <v>13</v>
      </c>
      <c r="C17" s="64" t="s">
        <v>136</v>
      </c>
      <c r="D17" s="65">
        <f t="shared" si="0"/>
        <v>44889.541666666664</v>
      </c>
      <c r="E17" s="66">
        <f>Calculator!BX19</f>
        <v>44889.541666666664</v>
      </c>
      <c r="F17" s="67" t="str">
        <f>INDEX(Translation,MATCH(Setup!B32,TransRef,0),MATCH(Setup!$C$5,LanguageRef,0))</f>
        <v>Switzerland</v>
      </c>
      <c r="G17" s="67"/>
      <c r="H17" s="227"/>
      <c r="I17" s="228"/>
      <c r="J17" s="67"/>
      <c r="K17" s="16" t="str">
        <f>INDEX(Translation,MATCH(Setup!B33,TransRef,0),MATCH(Setup!$C$5,LanguageRef,0))</f>
        <v>Cameroon</v>
      </c>
      <c r="N17" s="68" t="s">
        <v>133</v>
      </c>
      <c r="O17" s="18"/>
      <c r="P17" s="128">
        <v>1</v>
      </c>
      <c r="Q17" s="129" t="str">
        <f>INDEX(Calculator!$U$12:$U$15,MATCH(1,Calculator!$BK$12:$BK$15,0),0)</f>
        <v>Argentina</v>
      </c>
      <c r="R17" s="128">
        <f>VLOOKUP($Q17,Calculator!$C$4:$K$35,2,FALSE)</f>
        <v>0</v>
      </c>
      <c r="S17" s="128">
        <f>VLOOKUP($Q17,Calculator!$C$4:$K$35,3,FALSE)</f>
        <v>0</v>
      </c>
      <c r="T17" s="128">
        <f>VLOOKUP($Q17,Calculator!$C$4:$K$35,4,FALSE)</f>
        <v>0</v>
      </c>
      <c r="U17" s="128">
        <f>VLOOKUP($Q17,Calculator!$C$4:$K$35,5,FALSE)</f>
        <v>0</v>
      </c>
      <c r="V17" s="128" t="str">
        <f>VLOOKUP($Q17,Calculator!$C$4:$K$35,6,FALSE)&amp;" - "&amp;VLOOKUP($Q17,Calculator!$C$4:$K$35,7,FALSE)</f>
        <v>0 - 0</v>
      </c>
      <c r="W17" s="128">
        <f>VLOOKUP($Q17,Calculator!$C$4:$K$35,9,FALSE)</f>
        <v>0</v>
      </c>
      <c r="X17" s="19"/>
      <c r="Y17" s="118"/>
      <c r="CO17" s="24"/>
      <c r="CP17" s="24"/>
      <c r="CQ17" s="50"/>
      <c r="CR17" s="24"/>
    </row>
    <row r="18" spans="2:96" s="16" customFormat="1" ht="14.5" customHeight="1" x14ac:dyDescent="0.35">
      <c r="B18" s="51">
        <v>14</v>
      </c>
      <c r="C18" s="58" t="s">
        <v>137</v>
      </c>
      <c r="D18" s="59">
        <f t="shared" si="0"/>
        <v>44889.666666666664</v>
      </c>
      <c r="E18" s="60">
        <f>Calculator!BX20</f>
        <v>44889.666666666664</v>
      </c>
      <c r="F18" s="61" t="str">
        <f>INDEX(Translation,MATCH(Setup!B36,TransRef,0),MATCH(Setup!$C$5,LanguageRef,0))</f>
        <v>Uruguay</v>
      </c>
      <c r="G18" s="61"/>
      <c r="H18" s="227"/>
      <c r="I18" s="228"/>
      <c r="J18" s="61"/>
      <c r="K18" s="62" t="str">
        <f>INDEX(Translation,MATCH(Setup!B37,TransRef,0),MATCH(Setup!$C$5,LanguageRef,0))</f>
        <v>South Korea</v>
      </c>
      <c r="L18" s="62"/>
      <c r="M18" s="62"/>
      <c r="N18" s="63" t="s">
        <v>131</v>
      </c>
      <c r="O18" s="18"/>
      <c r="P18" s="128">
        <v>2</v>
      </c>
      <c r="Q18" s="129" t="str">
        <f>INDEX(Calculator!$U$12:$U$15,MATCH(2,Calculator!$BK$12:$BK$15,0),0)</f>
        <v>Mexico</v>
      </c>
      <c r="R18" s="128">
        <f>VLOOKUP($Q18,Calculator!$C$4:$K$35,2,FALSE)</f>
        <v>0</v>
      </c>
      <c r="S18" s="128">
        <f>VLOOKUP($Q18,Calculator!$C$4:$K$35,3,FALSE)</f>
        <v>0</v>
      </c>
      <c r="T18" s="128">
        <f>VLOOKUP($Q18,Calculator!$C$4:$K$35,4,FALSE)</f>
        <v>0</v>
      </c>
      <c r="U18" s="128">
        <f>VLOOKUP($Q18,Calculator!$C$4:$K$35,5,FALSE)</f>
        <v>0</v>
      </c>
      <c r="V18" s="128" t="str">
        <f>VLOOKUP($Q18,Calculator!$C$4:$K$35,6,FALSE)&amp;" - "&amp;VLOOKUP($Q18,Calculator!$C$4:$K$35,7,FALSE)</f>
        <v>0 - 0</v>
      </c>
      <c r="W18" s="128">
        <f>VLOOKUP($Q18,Calculator!$C$4:$K$35,9,FALSE)</f>
        <v>0</v>
      </c>
      <c r="X18" s="19"/>
      <c r="Y18" s="118"/>
      <c r="CO18" s="24"/>
      <c r="CP18" s="24"/>
      <c r="CQ18" s="50"/>
      <c r="CR18" s="24"/>
    </row>
    <row r="19" spans="2:96" s="16" customFormat="1" ht="14.5" customHeight="1" x14ac:dyDescent="0.35">
      <c r="B19" s="51">
        <v>15</v>
      </c>
      <c r="C19" s="64" t="s">
        <v>137</v>
      </c>
      <c r="D19" s="65">
        <f t="shared" si="0"/>
        <v>44889.791666666664</v>
      </c>
      <c r="E19" s="66">
        <f>Calculator!BX21</f>
        <v>44889.791666666664</v>
      </c>
      <c r="F19" s="67" t="str">
        <f>INDEX(Translation,MATCH(Setup!B38,TransRef,0),MATCH(Setup!$C$5,LanguageRef,0))</f>
        <v>Portugal</v>
      </c>
      <c r="G19" s="67"/>
      <c r="H19" s="227"/>
      <c r="I19" s="228"/>
      <c r="J19" s="67"/>
      <c r="K19" s="16" t="str">
        <f>INDEX(Translation,MATCH(Setup!B39,TransRef,0),MATCH(Setup!$C$5,LanguageRef,0))</f>
        <v>Ghana</v>
      </c>
      <c r="N19" s="68" t="s">
        <v>132</v>
      </c>
      <c r="O19" s="18"/>
      <c r="P19" s="69">
        <v>3</v>
      </c>
      <c r="Q19" s="70" t="str">
        <f>INDEX(Calculator!$U$12:$U$15,MATCH(3,Calculator!$BK$12:$BK$15,0),0)</f>
        <v>Poland</v>
      </c>
      <c r="R19" s="69">
        <f>VLOOKUP($Q19,Calculator!$C$4:$K$35,2,FALSE)</f>
        <v>0</v>
      </c>
      <c r="S19" s="69">
        <f>VLOOKUP($Q19,Calculator!$C$4:$K$35,3,FALSE)</f>
        <v>0</v>
      </c>
      <c r="T19" s="69">
        <f>VLOOKUP($Q19,Calculator!$C$4:$K$35,4,FALSE)</f>
        <v>0</v>
      </c>
      <c r="U19" s="69">
        <f>VLOOKUP($Q19,Calculator!$C$4:$K$35,5,FALSE)</f>
        <v>0</v>
      </c>
      <c r="V19" s="69" t="str">
        <f>VLOOKUP($Q19,Calculator!$C$4:$K$35,6,FALSE)&amp;" - "&amp;VLOOKUP($Q19,Calculator!$C$4:$K$35,7,FALSE)</f>
        <v>0 - 0</v>
      </c>
      <c r="W19" s="69">
        <f>VLOOKUP($Q19,Calculator!$C$4:$K$35,9,FALSE)</f>
        <v>0</v>
      </c>
      <c r="X19" s="19"/>
      <c r="Y19" s="118"/>
      <c r="CO19" s="24"/>
      <c r="CP19" s="24"/>
      <c r="CQ19" s="50"/>
      <c r="CR19" s="24"/>
    </row>
    <row r="20" spans="2:96" s="16" customFormat="1" ht="14.5" customHeight="1" x14ac:dyDescent="0.35">
      <c r="B20" s="51">
        <v>16</v>
      </c>
      <c r="C20" s="58" t="s">
        <v>136</v>
      </c>
      <c r="D20" s="59">
        <f t="shared" si="0"/>
        <v>44889.916666666664</v>
      </c>
      <c r="E20" s="60">
        <f>Calculator!BX22</f>
        <v>44889.916666666664</v>
      </c>
      <c r="F20" s="61" t="str">
        <f>INDEX(Translation,MATCH(Setup!B34,TransRef,0),MATCH(Setup!$C$5,LanguageRef,0))</f>
        <v>Brazil</v>
      </c>
      <c r="G20" s="61"/>
      <c r="H20" s="227"/>
      <c r="I20" s="228"/>
      <c r="J20" s="61"/>
      <c r="K20" s="62" t="str">
        <f>INDEX(Translation,MATCH(Setup!B35,TransRef,0),MATCH(Setup!$C$5,LanguageRef,0))</f>
        <v>Serbia</v>
      </c>
      <c r="L20" s="62"/>
      <c r="M20" s="62"/>
      <c r="N20" s="63" t="s">
        <v>130</v>
      </c>
      <c r="O20" s="18"/>
      <c r="P20" s="69">
        <v>4</v>
      </c>
      <c r="Q20" s="70" t="str">
        <f>INDEX(Calculator!$U$12:$U$15,MATCH(4,Calculator!$BK$12:$BK$15,0),0)</f>
        <v>Saudi Arabia</v>
      </c>
      <c r="R20" s="69">
        <f>VLOOKUP($Q20,Calculator!$C$4:$K$35,2,FALSE)</f>
        <v>0</v>
      </c>
      <c r="S20" s="69">
        <f>VLOOKUP($Q20,Calculator!$C$4:$K$35,3,FALSE)</f>
        <v>0</v>
      </c>
      <c r="T20" s="69">
        <f>VLOOKUP($Q20,Calculator!$C$4:$K$35,4,FALSE)</f>
        <v>0</v>
      </c>
      <c r="U20" s="69">
        <f>VLOOKUP($Q20,Calculator!$C$4:$K$35,5,FALSE)</f>
        <v>0</v>
      </c>
      <c r="V20" s="69" t="str">
        <f>VLOOKUP($Q20,Calculator!$C$4:$K$35,6,FALSE)&amp;" - "&amp;VLOOKUP($Q20,Calculator!$C$4:$K$35,7,FALSE)</f>
        <v>0 - 0</v>
      </c>
      <c r="W20" s="69">
        <f>VLOOKUP($Q20,Calculator!$C$4:$K$35,9,FALSE)</f>
        <v>0</v>
      </c>
      <c r="X20" s="19"/>
      <c r="Y20" s="118"/>
      <c r="CO20" s="24"/>
      <c r="CP20" s="24"/>
      <c r="CQ20" s="50"/>
      <c r="CR20" s="24"/>
    </row>
    <row r="21" spans="2:96" s="16" customFormat="1" ht="14.5" customHeight="1" x14ac:dyDescent="0.35">
      <c r="B21" s="51">
        <v>17</v>
      </c>
      <c r="C21" s="64" t="s">
        <v>125</v>
      </c>
      <c r="D21" s="73">
        <f t="shared" si="0"/>
        <v>44890.541666666664</v>
      </c>
      <c r="E21" s="66">
        <f>Calculator!BX23</f>
        <v>44890.541666666664</v>
      </c>
      <c r="F21" s="67" t="str">
        <f>K8</f>
        <v>Wales</v>
      </c>
      <c r="G21" s="67"/>
      <c r="H21" s="227"/>
      <c r="I21" s="228"/>
      <c r="J21" s="67"/>
      <c r="K21" s="16" t="str">
        <f>K6</f>
        <v>Iran</v>
      </c>
      <c r="N21" s="68" t="s">
        <v>128</v>
      </c>
      <c r="O21" s="18"/>
      <c r="P21" s="40"/>
      <c r="Q21" s="71"/>
      <c r="R21" s="18"/>
      <c r="S21" s="18"/>
      <c r="T21" s="18"/>
      <c r="U21" s="18"/>
      <c r="V21" s="18"/>
      <c r="W21" s="18"/>
      <c r="X21" s="19"/>
      <c r="Y21" s="118"/>
      <c r="CO21" s="24"/>
      <c r="CP21" s="24"/>
      <c r="CQ21" s="50"/>
      <c r="CR21" s="24"/>
    </row>
    <row r="22" spans="2:96" s="16" customFormat="1" ht="14.5" customHeight="1" x14ac:dyDescent="0.35">
      <c r="B22" s="51">
        <v>18</v>
      </c>
      <c r="C22" s="58" t="s">
        <v>123</v>
      </c>
      <c r="D22" s="59">
        <f t="shared" si="0"/>
        <v>44890.666666666664</v>
      </c>
      <c r="E22" s="60">
        <f>Calculator!BX24</f>
        <v>44890.666666666664</v>
      </c>
      <c r="F22" s="61" t="str">
        <f>F5</f>
        <v>Qatar</v>
      </c>
      <c r="G22" s="61"/>
      <c r="H22" s="227"/>
      <c r="I22" s="228"/>
      <c r="J22" s="61"/>
      <c r="K22" s="62" t="str">
        <f>F7</f>
        <v>Senegal</v>
      </c>
      <c r="L22" s="62"/>
      <c r="M22" s="62"/>
      <c r="N22" s="63" t="s">
        <v>124</v>
      </c>
      <c r="O22" s="18"/>
      <c r="P22" s="259" t="str">
        <f>INDEX(Translation,MATCH("Group D",TransRef,0),MATCH(Setup!$C$5,LanguageRef,0))</f>
        <v>Group D</v>
      </c>
      <c r="Q22" s="259"/>
      <c r="R22" s="49" t="s">
        <v>117</v>
      </c>
      <c r="S22" s="49" t="s">
        <v>118</v>
      </c>
      <c r="T22" s="49" t="s">
        <v>119</v>
      </c>
      <c r="U22" s="49" t="s">
        <v>120</v>
      </c>
      <c r="V22" s="49" t="s">
        <v>121</v>
      </c>
      <c r="W22" s="49" t="s">
        <v>122</v>
      </c>
      <c r="X22" s="19"/>
      <c r="Y22" s="118"/>
      <c r="CO22" s="24"/>
      <c r="CP22" s="24"/>
      <c r="CQ22" s="50"/>
      <c r="CR22" s="24"/>
    </row>
    <row r="23" spans="2:96" s="16" customFormat="1" ht="14.5" customHeight="1" x14ac:dyDescent="0.35">
      <c r="B23" s="51">
        <v>19</v>
      </c>
      <c r="C23" s="64" t="s">
        <v>123</v>
      </c>
      <c r="D23" s="65">
        <f t="shared" si="0"/>
        <v>44890.791666666664</v>
      </c>
      <c r="E23" s="66">
        <f>Calculator!BX25</f>
        <v>44890.791666666664</v>
      </c>
      <c r="F23" s="67" t="str">
        <f>K7</f>
        <v>Netherlands</v>
      </c>
      <c r="G23" s="67"/>
      <c r="H23" s="227"/>
      <c r="I23" s="228"/>
      <c r="J23" s="67"/>
      <c r="K23" s="16" t="str">
        <f>K5</f>
        <v>Ecuador</v>
      </c>
      <c r="N23" s="68" t="s">
        <v>126</v>
      </c>
      <c r="O23" s="18"/>
      <c r="P23" s="130">
        <v>1</v>
      </c>
      <c r="Q23" s="131" t="str">
        <f>INDEX(Calculator!$U$16:$U$19,MATCH(1,Calculator!$BK$16:$BK$19,0),0)</f>
        <v>France</v>
      </c>
      <c r="R23" s="130">
        <f>VLOOKUP($Q23,Calculator!$C$4:$K$35,2,FALSE)</f>
        <v>0</v>
      </c>
      <c r="S23" s="130">
        <f>VLOOKUP($Q23,Calculator!$C$4:$K$35,3,FALSE)</f>
        <v>0</v>
      </c>
      <c r="T23" s="130">
        <f>VLOOKUP($Q23,Calculator!$C$4:$K$35,4,FALSE)</f>
        <v>0</v>
      </c>
      <c r="U23" s="130">
        <f>VLOOKUP($Q23,Calculator!$C$4:$K$35,5,FALSE)</f>
        <v>0</v>
      </c>
      <c r="V23" s="130" t="str">
        <f>VLOOKUP($Q23,Calculator!$C$4:$K$35,6,FALSE)&amp;" - "&amp;VLOOKUP($Q23,Calculator!$C$4:$K$35,7,FALSE)</f>
        <v>0 - 0</v>
      </c>
      <c r="W23" s="130">
        <f>VLOOKUP($Q23,Calculator!$C$4:$K$35,9,FALSE)</f>
        <v>0</v>
      </c>
      <c r="X23" s="19"/>
      <c r="Y23" s="118"/>
      <c r="CO23" s="24"/>
      <c r="CP23" s="24"/>
      <c r="CQ23" s="50"/>
      <c r="CR23" s="24"/>
    </row>
    <row r="24" spans="2:96" s="16" customFormat="1" ht="14.5" customHeight="1" x14ac:dyDescent="0.35">
      <c r="B24" s="51">
        <v>20</v>
      </c>
      <c r="C24" s="58" t="s">
        <v>125</v>
      </c>
      <c r="D24" s="59">
        <f t="shared" si="0"/>
        <v>44890.916666666664</v>
      </c>
      <c r="E24" s="60">
        <f>Calculator!BX26</f>
        <v>44890.916666666664</v>
      </c>
      <c r="F24" s="61" t="str">
        <f>F6</f>
        <v>England</v>
      </c>
      <c r="G24" s="61"/>
      <c r="H24" s="227"/>
      <c r="I24" s="228"/>
      <c r="J24" s="61"/>
      <c r="K24" s="62" t="str">
        <f>F8</f>
        <v>United States</v>
      </c>
      <c r="L24" s="62"/>
      <c r="M24" s="62"/>
      <c r="N24" s="63" t="s">
        <v>127</v>
      </c>
      <c r="O24" s="18"/>
      <c r="P24" s="130">
        <v>2</v>
      </c>
      <c r="Q24" s="131" t="str">
        <f>INDEX(Calculator!$U$16:$U$19,MATCH(2,Calculator!$BK$16:$BK$19,0),0)</f>
        <v>Denmark</v>
      </c>
      <c r="R24" s="130">
        <f>VLOOKUP($Q24,Calculator!$C$4:$K$35,2,FALSE)</f>
        <v>0</v>
      </c>
      <c r="S24" s="130">
        <f>VLOOKUP($Q24,Calculator!$C$4:$K$35,3,FALSE)</f>
        <v>0</v>
      </c>
      <c r="T24" s="130">
        <f>VLOOKUP($Q24,Calculator!$C$4:$K$35,4,FALSE)</f>
        <v>0</v>
      </c>
      <c r="U24" s="130">
        <f>VLOOKUP($Q24,Calculator!$C$4:$K$35,5,FALSE)</f>
        <v>0</v>
      </c>
      <c r="V24" s="130" t="str">
        <f>VLOOKUP($Q24,Calculator!$C$4:$K$35,6,FALSE)&amp;" - "&amp;VLOOKUP($Q24,Calculator!$C$4:$K$35,7,FALSE)</f>
        <v>0 - 0</v>
      </c>
      <c r="W24" s="130">
        <f>VLOOKUP($Q24,Calculator!$C$4:$K$35,9,FALSE)</f>
        <v>0</v>
      </c>
      <c r="X24" s="19"/>
      <c r="Y24" s="118"/>
      <c r="CO24" s="24"/>
      <c r="CP24" s="24"/>
      <c r="CQ24" s="50"/>
      <c r="CR24" s="24"/>
    </row>
    <row r="25" spans="2:96" s="16" customFormat="1" ht="14.5" customHeight="1" x14ac:dyDescent="0.35">
      <c r="B25" s="51">
        <v>21</v>
      </c>
      <c r="C25" s="64" t="s">
        <v>119</v>
      </c>
      <c r="D25" s="65">
        <f t="shared" si="0"/>
        <v>44891.541666666664</v>
      </c>
      <c r="E25" s="66">
        <f>Calculator!BX27</f>
        <v>44891.541666666664</v>
      </c>
      <c r="F25" s="67" t="str">
        <f>K10</f>
        <v>Tunisia</v>
      </c>
      <c r="G25" s="67"/>
      <c r="H25" s="227"/>
      <c r="I25" s="228"/>
      <c r="J25" s="67"/>
      <c r="K25" s="16" t="str">
        <f>K12</f>
        <v>Australia</v>
      </c>
      <c r="N25" s="68" t="s">
        <v>133</v>
      </c>
      <c r="O25" s="18"/>
      <c r="P25" s="69">
        <v>3</v>
      </c>
      <c r="Q25" s="70" t="str">
        <f>INDEX(Calculator!$U$16:$U$19,MATCH(3,Calculator!$BK$16:$BK$19,0),0)</f>
        <v>Tunisia</v>
      </c>
      <c r="R25" s="69">
        <f>VLOOKUP($Q25,Calculator!$C$4:$K$35,2,FALSE)</f>
        <v>0</v>
      </c>
      <c r="S25" s="69">
        <f>VLOOKUP($Q25,Calculator!$C$4:$K$35,3,FALSE)</f>
        <v>0</v>
      </c>
      <c r="T25" s="69">
        <f>VLOOKUP($Q25,Calculator!$C$4:$K$35,4,FALSE)</f>
        <v>0</v>
      </c>
      <c r="U25" s="69">
        <f>VLOOKUP($Q25,Calculator!$C$4:$K$35,5,FALSE)</f>
        <v>0</v>
      </c>
      <c r="V25" s="69" t="str">
        <f>VLOOKUP($Q25,Calculator!$C$4:$K$35,6,FALSE)&amp;" - "&amp;VLOOKUP($Q25,Calculator!$C$4:$K$35,7,FALSE)</f>
        <v>0 - 0</v>
      </c>
      <c r="W25" s="69">
        <f>VLOOKUP($Q25,Calculator!$C$4:$K$35,9,FALSE)</f>
        <v>0</v>
      </c>
      <c r="X25" s="19"/>
      <c r="Y25" s="118"/>
      <c r="CO25" s="24"/>
      <c r="CP25" s="24"/>
      <c r="CQ25" s="50"/>
      <c r="CR25" s="24"/>
    </row>
    <row r="26" spans="2:96" s="16" customFormat="1" ht="14.5" customHeight="1" x14ac:dyDescent="0.35">
      <c r="B26" s="51">
        <v>22</v>
      </c>
      <c r="C26" s="58" t="s">
        <v>129</v>
      </c>
      <c r="D26" s="59">
        <f t="shared" si="0"/>
        <v>44891.666666666664</v>
      </c>
      <c r="E26" s="60">
        <f>Calculator!BX28</f>
        <v>44891.666666666664</v>
      </c>
      <c r="F26" s="61" t="str">
        <f>K11</f>
        <v>Poland</v>
      </c>
      <c r="G26" s="61"/>
      <c r="H26" s="227"/>
      <c r="I26" s="228"/>
      <c r="J26" s="61"/>
      <c r="K26" s="62" t="str">
        <f>K9</f>
        <v>Saudi Arabia</v>
      </c>
      <c r="L26" s="62"/>
      <c r="M26" s="62"/>
      <c r="N26" s="63" t="s">
        <v>131</v>
      </c>
      <c r="O26" s="18"/>
      <c r="P26" s="69">
        <v>4</v>
      </c>
      <c r="Q26" s="70" t="str">
        <f>INDEX(Calculator!$U$16:$U$19,MATCH(4,Calculator!$BK$16:$BK$19,0),0)</f>
        <v>Australia</v>
      </c>
      <c r="R26" s="69">
        <f>VLOOKUP($Q26,Calculator!$C$4:$K$35,2,FALSE)</f>
        <v>0</v>
      </c>
      <c r="S26" s="69">
        <f>VLOOKUP($Q26,Calculator!$C$4:$K$35,3,FALSE)</f>
        <v>0</v>
      </c>
      <c r="T26" s="69">
        <f>VLOOKUP($Q26,Calculator!$C$4:$K$35,4,FALSE)</f>
        <v>0</v>
      </c>
      <c r="U26" s="69">
        <f>VLOOKUP($Q26,Calculator!$C$4:$K$35,5,FALSE)</f>
        <v>0</v>
      </c>
      <c r="V26" s="69" t="str">
        <f>VLOOKUP($Q26,Calculator!$C$4:$K$35,6,FALSE)&amp;" - "&amp;VLOOKUP($Q26,Calculator!$C$4:$K$35,7,FALSE)</f>
        <v>0 - 0</v>
      </c>
      <c r="W26" s="69">
        <f>VLOOKUP($Q26,Calculator!$C$4:$K$35,9,FALSE)</f>
        <v>0</v>
      </c>
      <c r="X26" s="19"/>
      <c r="Y26" s="118"/>
      <c r="CO26" s="24"/>
      <c r="CP26" s="24"/>
      <c r="CQ26" s="50"/>
      <c r="CR26" s="24"/>
    </row>
    <row r="27" spans="2:96" s="16" customFormat="1" ht="14.5" customHeight="1" x14ac:dyDescent="0.35">
      <c r="B27" s="51">
        <v>23</v>
      </c>
      <c r="C27" s="64" t="s">
        <v>119</v>
      </c>
      <c r="D27" s="65">
        <f t="shared" si="0"/>
        <v>44891.791666666664</v>
      </c>
      <c r="E27" s="66">
        <f>Calculator!BX29</f>
        <v>44891.791666666664</v>
      </c>
      <c r="F27" s="67" t="str">
        <f>F12</f>
        <v>France</v>
      </c>
      <c r="G27" s="67"/>
      <c r="H27" s="227"/>
      <c r="I27" s="228"/>
      <c r="J27" s="67"/>
      <c r="K27" s="16" t="str">
        <f>F10</f>
        <v>Denmark</v>
      </c>
      <c r="N27" s="68" t="s">
        <v>132</v>
      </c>
      <c r="O27" s="18"/>
      <c r="P27" s="40"/>
      <c r="Q27" s="71"/>
      <c r="R27" s="18"/>
      <c r="S27" s="18"/>
      <c r="T27" s="18"/>
      <c r="U27" s="18"/>
      <c r="V27" s="18"/>
      <c r="W27" s="18"/>
      <c r="X27" s="19"/>
      <c r="Y27" s="118"/>
      <c r="CO27" s="24"/>
      <c r="CP27" s="24"/>
      <c r="CQ27" s="50"/>
      <c r="CR27" s="24"/>
    </row>
    <row r="28" spans="2:96" s="16" customFormat="1" ht="14.5" customHeight="1" x14ac:dyDescent="0.35">
      <c r="B28" s="51">
        <v>24</v>
      </c>
      <c r="C28" s="58" t="s">
        <v>129</v>
      </c>
      <c r="D28" s="59">
        <f t="shared" si="0"/>
        <v>44891.916666666664</v>
      </c>
      <c r="E28" s="60">
        <f>Calculator!BX30</f>
        <v>44891.916666666664</v>
      </c>
      <c r="F28" s="61" t="str">
        <f>F9</f>
        <v>Argentina</v>
      </c>
      <c r="G28" s="61"/>
      <c r="H28" s="227"/>
      <c r="I28" s="228"/>
      <c r="J28" s="61"/>
      <c r="K28" s="62" t="str">
        <f>F11</f>
        <v>Mexico</v>
      </c>
      <c r="L28" s="62"/>
      <c r="M28" s="62"/>
      <c r="N28" s="63" t="s">
        <v>130</v>
      </c>
      <c r="O28" s="18"/>
      <c r="P28" s="259" t="str">
        <f>INDEX(Translation,MATCH("Group E",TransRef,0),MATCH(Setup!$C$5,LanguageRef,0))</f>
        <v>Group E</v>
      </c>
      <c r="Q28" s="259"/>
      <c r="R28" s="49" t="s">
        <v>117</v>
      </c>
      <c r="S28" s="49" t="s">
        <v>118</v>
      </c>
      <c r="T28" s="49" t="s">
        <v>119</v>
      </c>
      <c r="U28" s="49" t="s">
        <v>120</v>
      </c>
      <c r="V28" s="49" t="s">
        <v>121</v>
      </c>
      <c r="W28" s="49" t="s">
        <v>122</v>
      </c>
      <c r="X28" s="19"/>
      <c r="Y28" s="118"/>
      <c r="CO28" s="24"/>
      <c r="CP28" s="24"/>
      <c r="CQ28" s="50"/>
      <c r="CR28" s="24"/>
    </row>
    <row r="29" spans="2:96" s="16" customFormat="1" ht="14.5" customHeight="1" x14ac:dyDescent="0.35">
      <c r="B29" s="51">
        <v>25</v>
      </c>
      <c r="C29" s="64" t="s">
        <v>135</v>
      </c>
      <c r="D29" s="65">
        <f t="shared" si="0"/>
        <v>44892.541666666664</v>
      </c>
      <c r="E29" s="66">
        <f>Calculator!BX31</f>
        <v>44892.541666666664</v>
      </c>
      <c r="F29" s="67" t="str">
        <f>K14</f>
        <v>Japan</v>
      </c>
      <c r="G29" s="67"/>
      <c r="H29" s="227"/>
      <c r="I29" s="228"/>
      <c r="J29" s="67"/>
      <c r="K29" s="16" t="str">
        <f>K15</f>
        <v>Costa Rica</v>
      </c>
      <c r="N29" s="68" t="s">
        <v>128</v>
      </c>
      <c r="O29" s="18"/>
      <c r="P29" s="132">
        <v>1</v>
      </c>
      <c r="Q29" s="133" t="str">
        <f>INDEX(Calculator!$U$20:$U$23,MATCH(1,Calculator!$BK$20:$BK$23,0),0)</f>
        <v>Spain</v>
      </c>
      <c r="R29" s="132">
        <f>VLOOKUP($Q29,Calculator!$C$4:$K$35,2,FALSE)</f>
        <v>0</v>
      </c>
      <c r="S29" s="132">
        <f>VLOOKUP($Q29,Calculator!$C$4:$K$35,3,FALSE)</f>
        <v>0</v>
      </c>
      <c r="T29" s="132">
        <f>VLOOKUP($Q29,Calculator!$C$4:$K$35,4,FALSE)</f>
        <v>0</v>
      </c>
      <c r="U29" s="132">
        <f>VLOOKUP($Q29,Calculator!$C$4:$K$35,5,FALSE)</f>
        <v>0</v>
      </c>
      <c r="V29" s="132" t="str">
        <f>VLOOKUP($Q29,Calculator!$C$4:$K$35,6,FALSE)&amp;" - "&amp;VLOOKUP($Q29,Calculator!$C$4:$K$35,7,FALSE)</f>
        <v>0 - 0</v>
      </c>
      <c r="W29" s="132">
        <f>VLOOKUP($Q29,Calculator!$C$4:$K$35,9,FALSE)</f>
        <v>0</v>
      </c>
      <c r="X29" s="19"/>
      <c r="Y29" s="118"/>
      <c r="CO29" s="24"/>
      <c r="CP29" s="24"/>
      <c r="CQ29" s="50"/>
      <c r="CR29" s="24"/>
    </row>
    <row r="30" spans="2:96" s="16" customFormat="1" ht="14.5" customHeight="1" x14ac:dyDescent="0.35">
      <c r="B30" s="51">
        <v>26</v>
      </c>
      <c r="C30" s="58" t="s">
        <v>134</v>
      </c>
      <c r="D30" s="59">
        <f t="shared" si="0"/>
        <v>44892.666666666664</v>
      </c>
      <c r="E30" s="60">
        <f>Calculator!BX32</f>
        <v>44892.666666666664</v>
      </c>
      <c r="F30" s="61" t="str">
        <f>F16</f>
        <v>Belgium</v>
      </c>
      <c r="G30" s="61"/>
      <c r="H30" s="227"/>
      <c r="I30" s="228"/>
      <c r="J30" s="61"/>
      <c r="K30" s="62" t="str">
        <f>F13</f>
        <v>Morocco</v>
      </c>
      <c r="L30" s="62"/>
      <c r="M30" s="62"/>
      <c r="N30" s="63" t="s">
        <v>124</v>
      </c>
      <c r="O30" s="18"/>
      <c r="P30" s="132">
        <v>2</v>
      </c>
      <c r="Q30" s="133" t="str">
        <f>INDEX(Calculator!$U$20:$U$23,MATCH(2,Calculator!$BK$20:$BK$23,0),0)</f>
        <v>Germany</v>
      </c>
      <c r="R30" s="132">
        <f>VLOOKUP($Q30,Calculator!$C$4:$K$35,2,FALSE)</f>
        <v>0</v>
      </c>
      <c r="S30" s="132">
        <f>VLOOKUP($Q30,Calculator!$C$4:$K$35,3,FALSE)</f>
        <v>0</v>
      </c>
      <c r="T30" s="132">
        <f>VLOOKUP($Q30,Calculator!$C$4:$K$35,4,FALSE)</f>
        <v>0</v>
      </c>
      <c r="U30" s="132">
        <f>VLOOKUP($Q30,Calculator!$C$4:$K$35,5,FALSE)</f>
        <v>0</v>
      </c>
      <c r="V30" s="132" t="str">
        <f>VLOOKUP($Q30,Calculator!$C$4:$K$35,6,FALSE)&amp;" - "&amp;VLOOKUP($Q30,Calculator!$C$4:$K$35,7,FALSE)</f>
        <v>0 - 0</v>
      </c>
      <c r="W30" s="132">
        <f>VLOOKUP($Q30,Calculator!$C$4:$K$35,9,FALSE)</f>
        <v>0</v>
      </c>
      <c r="X30" s="19"/>
      <c r="Y30" s="118"/>
      <c r="CO30" s="24"/>
      <c r="CP30" s="72"/>
      <c r="CQ30" s="50"/>
      <c r="CR30" s="24"/>
    </row>
    <row r="31" spans="2:96" s="16" customFormat="1" ht="14.5" customHeight="1" x14ac:dyDescent="0.35">
      <c r="B31" s="51">
        <v>27</v>
      </c>
      <c r="C31" s="64" t="s">
        <v>134</v>
      </c>
      <c r="D31" s="65">
        <f t="shared" si="0"/>
        <v>44892.791666666664</v>
      </c>
      <c r="E31" s="66">
        <f>Calculator!BX33</f>
        <v>44892.791666666664</v>
      </c>
      <c r="F31" s="67" t="str">
        <f>K13</f>
        <v>Croatia</v>
      </c>
      <c r="G31" s="67"/>
      <c r="H31" s="227"/>
      <c r="I31" s="228"/>
      <c r="J31" s="67"/>
      <c r="K31" s="16" t="str">
        <f>K16</f>
        <v>Canada</v>
      </c>
      <c r="N31" s="68" t="s">
        <v>126</v>
      </c>
      <c r="O31" s="18"/>
      <c r="P31" s="69">
        <v>3</v>
      </c>
      <c r="Q31" s="70" t="str">
        <f>INDEX(Calculator!$U$20:$U$23,MATCH(3,Calculator!$BK$20:$BK$23,0),0)</f>
        <v>Japan</v>
      </c>
      <c r="R31" s="69">
        <f>VLOOKUP($Q31,Calculator!$C$4:$K$35,2,FALSE)</f>
        <v>0</v>
      </c>
      <c r="S31" s="69">
        <f>VLOOKUP($Q31,Calculator!$C$4:$K$35,3,FALSE)</f>
        <v>0</v>
      </c>
      <c r="T31" s="69">
        <f>VLOOKUP($Q31,Calculator!$C$4:$K$35,4,FALSE)</f>
        <v>0</v>
      </c>
      <c r="U31" s="69">
        <f>VLOOKUP($Q31,Calculator!$C$4:$K$35,5,FALSE)</f>
        <v>0</v>
      </c>
      <c r="V31" s="69" t="str">
        <f>VLOOKUP($Q31,Calculator!$C$4:$K$35,6,FALSE)&amp;" - "&amp;VLOOKUP($Q31,Calculator!$C$4:$K$35,7,FALSE)</f>
        <v>0 - 0</v>
      </c>
      <c r="W31" s="69">
        <f>VLOOKUP($Q31,Calculator!$C$4:$K$35,9,FALSE)</f>
        <v>0</v>
      </c>
      <c r="X31" s="19"/>
      <c r="Y31" s="118"/>
      <c r="CO31" s="24"/>
      <c r="CP31" s="72"/>
      <c r="CQ31" s="50"/>
      <c r="CR31" s="24"/>
    </row>
    <row r="32" spans="2:96" s="16" customFormat="1" ht="14.5" customHeight="1" x14ac:dyDescent="0.35">
      <c r="B32" s="51">
        <v>28</v>
      </c>
      <c r="C32" s="58" t="s">
        <v>135</v>
      </c>
      <c r="D32" s="59">
        <f t="shared" si="0"/>
        <v>44892.916666666664</v>
      </c>
      <c r="E32" s="60">
        <f>Calculator!BX34</f>
        <v>44892.916666666664</v>
      </c>
      <c r="F32" s="61" t="str">
        <f>F15</f>
        <v>Spain</v>
      </c>
      <c r="G32" s="61"/>
      <c r="H32" s="227"/>
      <c r="I32" s="228"/>
      <c r="J32" s="61"/>
      <c r="K32" s="62" t="str">
        <f>F14</f>
        <v>Germany</v>
      </c>
      <c r="L32" s="62"/>
      <c r="M32" s="62"/>
      <c r="N32" s="63" t="s">
        <v>127</v>
      </c>
      <c r="O32" s="18"/>
      <c r="P32" s="69">
        <v>4</v>
      </c>
      <c r="Q32" s="70" t="str">
        <f>INDEX(Calculator!$U$20:$U$23,MATCH(4,Calculator!$BK$20:$BK$23,0),0)</f>
        <v>Costa Rica</v>
      </c>
      <c r="R32" s="69">
        <f>VLOOKUP($Q32,Calculator!$C$4:$K$35,2,FALSE)</f>
        <v>0</v>
      </c>
      <c r="S32" s="69">
        <f>VLOOKUP($Q32,Calculator!$C$4:$K$35,3,FALSE)</f>
        <v>0</v>
      </c>
      <c r="T32" s="69">
        <f>VLOOKUP($Q32,Calculator!$C$4:$K$35,4,FALSE)</f>
        <v>0</v>
      </c>
      <c r="U32" s="69">
        <f>VLOOKUP($Q32,Calculator!$C$4:$K$35,5,FALSE)</f>
        <v>0</v>
      </c>
      <c r="V32" s="69" t="str">
        <f>VLOOKUP($Q32,Calculator!$C$4:$K$35,6,FALSE)&amp;" - "&amp;VLOOKUP($Q32,Calculator!$C$4:$K$35,7,FALSE)</f>
        <v>0 - 0</v>
      </c>
      <c r="W32" s="69">
        <f>VLOOKUP($Q32,Calculator!$C$4:$K$35,9,FALSE)</f>
        <v>0</v>
      </c>
      <c r="X32" s="19"/>
      <c r="Y32" s="118"/>
      <c r="CO32" s="24"/>
      <c r="CP32" s="24"/>
      <c r="CQ32" s="50"/>
      <c r="CR32" s="24"/>
    </row>
    <row r="33" spans="2:96" s="16" customFormat="1" ht="14.5" customHeight="1" x14ac:dyDescent="0.35">
      <c r="B33" s="51">
        <v>29</v>
      </c>
      <c r="C33" s="64" t="s">
        <v>136</v>
      </c>
      <c r="D33" s="65">
        <f t="shared" si="0"/>
        <v>44893.541666666664</v>
      </c>
      <c r="E33" s="66">
        <f>Calculator!BX35</f>
        <v>44893.541666666664</v>
      </c>
      <c r="F33" s="67" t="str">
        <f>K17</f>
        <v>Cameroon</v>
      </c>
      <c r="G33" s="67"/>
      <c r="H33" s="227"/>
      <c r="I33" s="228"/>
      <c r="J33" s="67"/>
      <c r="K33" s="16" t="str">
        <f>K20</f>
        <v>Serbia</v>
      </c>
      <c r="N33" s="68" t="s">
        <v>133</v>
      </c>
      <c r="O33" s="18"/>
      <c r="P33" s="40"/>
      <c r="Q33" s="71"/>
      <c r="R33" s="18"/>
      <c r="S33" s="18"/>
      <c r="T33" s="18"/>
      <c r="U33" s="18"/>
      <c r="V33" s="18"/>
      <c r="W33" s="18"/>
      <c r="X33" s="19"/>
      <c r="Y33" s="118"/>
      <c r="CO33" s="24"/>
      <c r="CP33" s="24"/>
      <c r="CQ33" s="50"/>
      <c r="CR33" s="24"/>
    </row>
    <row r="34" spans="2:96" s="16" customFormat="1" ht="14.5" customHeight="1" x14ac:dyDescent="0.35">
      <c r="B34" s="51">
        <v>30</v>
      </c>
      <c r="C34" s="58" t="s">
        <v>137</v>
      </c>
      <c r="D34" s="59">
        <f t="shared" si="0"/>
        <v>44893.666666666664</v>
      </c>
      <c r="E34" s="60">
        <f>Calculator!BX36</f>
        <v>44893.666666666664</v>
      </c>
      <c r="F34" s="61" t="str">
        <f>K18</f>
        <v>South Korea</v>
      </c>
      <c r="G34" s="61"/>
      <c r="H34" s="227"/>
      <c r="I34" s="228"/>
      <c r="J34" s="61"/>
      <c r="K34" s="62" t="str">
        <f>K19</f>
        <v>Ghana</v>
      </c>
      <c r="L34" s="62"/>
      <c r="M34" s="62"/>
      <c r="N34" s="63" t="s">
        <v>131</v>
      </c>
      <c r="O34" s="18"/>
      <c r="P34" s="259" t="str">
        <f>INDEX(Translation,MATCH("Group F",TransRef,0),MATCH(Setup!$C$5,LanguageRef,0))</f>
        <v>Group F</v>
      </c>
      <c r="Q34" s="259"/>
      <c r="R34" s="49" t="s">
        <v>117</v>
      </c>
      <c r="S34" s="49" t="s">
        <v>118</v>
      </c>
      <c r="T34" s="49" t="s">
        <v>119</v>
      </c>
      <c r="U34" s="49" t="s">
        <v>120</v>
      </c>
      <c r="V34" s="49" t="s">
        <v>121</v>
      </c>
      <c r="W34" s="49" t="s">
        <v>122</v>
      </c>
      <c r="X34" s="19"/>
      <c r="Y34" s="118"/>
      <c r="CO34" s="24"/>
      <c r="CP34" s="24"/>
      <c r="CQ34" s="50"/>
      <c r="CR34" s="24"/>
    </row>
    <row r="35" spans="2:96" s="16" customFormat="1" ht="14.5" customHeight="1" x14ac:dyDescent="0.35">
      <c r="B35" s="51">
        <v>31</v>
      </c>
      <c r="C35" s="64" t="s">
        <v>136</v>
      </c>
      <c r="D35" s="65">
        <f t="shared" si="0"/>
        <v>44893.791666666664</v>
      </c>
      <c r="E35" s="66">
        <f>Calculator!BX37</f>
        <v>44893.791666666664</v>
      </c>
      <c r="F35" s="67" t="str">
        <f>F20</f>
        <v>Brazil</v>
      </c>
      <c r="G35" s="67"/>
      <c r="H35" s="227"/>
      <c r="I35" s="228"/>
      <c r="J35" s="67"/>
      <c r="K35" s="16" t="str">
        <f>F17</f>
        <v>Switzerland</v>
      </c>
      <c r="N35" s="68" t="s">
        <v>132</v>
      </c>
      <c r="O35" s="18"/>
      <c r="P35" s="138">
        <v>1</v>
      </c>
      <c r="Q35" s="139" t="str">
        <f>INDEX(Calculator!$U$24:$U$27,MATCH(1,Calculator!$BK$24:$BK$27,0),0)</f>
        <v>Belgium</v>
      </c>
      <c r="R35" s="138">
        <f>VLOOKUP($Q35,Calculator!$C$4:$K$35,2,FALSE)</f>
        <v>0</v>
      </c>
      <c r="S35" s="138">
        <f>VLOOKUP($Q35,Calculator!$C$4:$K$35,3,FALSE)</f>
        <v>0</v>
      </c>
      <c r="T35" s="138">
        <f>VLOOKUP($Q35,Calculator!$C$4:$K$35,4,FALSE)</f>
        <v>0</v>
      </c>
      <c r="U35" s="138">
        <f>VLOOKUP($Q35,Calculator!$C$4:$K$35,5,FALSE)</f>
        <v>0</v>
      </c>
      <c r="V35" s="138" t="str">
        <f>VLOOKUP($Q35,Calculator!$C$4:$K$35,6,FALSE)&amp;" - "&amp;VLOOKUP($Q35,Calculator!$C$4:$K$35,7,FALSE)</f>
        <v>0 - 0</v>
      </c>
      <c r="W35" s="138">
        <f>VLOOKUP($Q35,Calculator!$C$4:$K$35,9,FALSE)</f>
        <v>0</v>
      </c>
      <c r="X35" s="19"/>
      <c r="Y35" s="118"/>
      <c r="CO35" s="24"/>
      <c r="CP35" s="24"/>
      <c r="CQ35" s="50"/>
      <c r="CR35" s="24"/>
    </row>
    <row r="36" spans="2:96" s="16" customFormat="1" ht="14.5" customHeight="1" x14ac:dyDescent="0.35">
      <c r="B36" s="51">
        <v>32</v>
      </c>
      <c r="C36" s="58" t="s">
        <v>137</v>
      </c>
      <c r="D36" s="59">
        <f t="shared" si="0"/>
        <v>44893.916666666664</v>
      </c>
      <c r="E36" s="60">
        <f>Calculator!BX38</f>
        <v>44893.916666666664</v>
      </c>
      <c r="F36" s="61" t="str">
        <f>F19</f>
        <v>Portugal</v>
      </c>
      <c r="G36" s="61"/>
      <c r="H36" s="227"/>
      <c r="I36" s="228"/>
      <c r="J36" s="61"/>
      <c r="K36" s="62" t="str">
        <f>F18</f>
        <v>Uruguay</v>
      </c>
      <c r="L36" s="62"/>
      <c r="M36" s="62"/>
      <c r="N36" s="63" t="s">
        <v>130</v>
      </c>
      <c r="O36" s="18"/>
      <c r="P36" s="138">
        <v>2</v>
      </c>
      <c r="Q36" s="139" t="str">
        <f>INDEX(Calculator!$U$24:$U$27,MATCH(2,Calculator!$BK$24:$BK$27,0),0)</f>
        <v>Croatia</v>
      </c>
      <c r="R36" s="138">
        <f>VLOOKUP($Q36,Calculator!$C$4:$K$35,2,FALSE)</f>
        <v>0</v>
      </c>
      <c r="S36" s="138">
        <f>VLOOKUP($Q36,Calculator!$C$4:$K$35,3,FALSE)</f>
        <v>0</v>
      </c>
      <c r="T36" s="138">
        <f>VLOOKUP($Q36,Calculator!$C$4:$K$35,4,FALSE)</f>
        <v>0</v>
      </c>
      <c r="U36" s="138">
        <f>VLOOKUP($Q36,Calculator!$C$4:$K$35,5,FALSE)</f>
        <v>0</v>
      </c>
      <c r="V36" s="138" t="str">
        <f>VLOOKUP($Q36,Calculator!$C$4:$K$35,6,FALSE)&amp;" - "&amp;VLOOKUP($Q36,Calculator!$C$4:$K$35,7,FALSE)</f>
        <v>0 - 0</v>
      </c>
      <c r="W36" s="138">
        <f>VLOOKUP($Q36,Calculator!$C$4:$K$35,9,FALSE)</f>
        <v>0</v>
      </c>
      <c r="X36" s="19"/>
      <c r="Y36" s="118"/>
      <c r="CO36" s="24"/>
      <c r="CP36" s="24"/>
      <c r="CQ36" s="50"/>
      <c r="CR36" s="24"/>
    </row>
    <row r="37" spans="2:96" s="16" customFormat="1" ht="14.5" customHeight="1" x14ac:dyDescent="0.35">
      <c r="B37" s="51">
        <v>35</v>
      </c>
      <c r="C37" s="64" t="s">
        <v>123</v>
      </c>
      <c r="D37" s="73">
        <f t="shared" si="0"/>
        <v>44894.75</v>
      </c>
      <c r="E37" s="66">
        <f>Calculator!BX39</f>
        <v>44894.75</v>
      </c>
      <c r="F37" s="67" t="str">
        <f>K5</f>
        <v>Ecuador</v>
      </c>
      <c r="G37" s="67"/>
      <c r="H37" s="227"/>
      <c r="I37" s="228"/>
      <c r="J37" s="67"/>
      <c r="K37" s="16" t="str">
        <f>F7</f>
        <v>Senegal</v>
      </c>
      <c r="N37" s="68" t="s">
        <v>126</v>
      </c>
      <c r="O37" s="18"/>
      <c r="P37" s="69">
        <v>3</v>
      </c>
      <c r="Q37" s="70" t="str">
        <f>INDEX(Calculator!$U$24:$U$27,MATCH(3,Calculator!$BK$24:$BK$27,0),0)</f>
        <v>Morocco</v>
      </c>
      <c r="R37" s="69">
        <f>VLOOKUP($Q37,Calculator!$C$4:$K$35,2,FALSE)</f>
        <v>0</v>
      </c>
      <c r="S37" s="69">
        <f>VLOOKUP($Q37,Calculator!$C$4:$K$35,3,FALSE)</f>
        <v>0</v>
      </c>
      <c r="T37" s="69">
        <f>VLOOKUP($Q37,Calculator!$C$4:$K$35,4,FALSE)</f>
        <v>0</v>
      </c>
      <c r="U37" s="69">
        <f>VLOOKUP($Q37,Calculator!$C$4:$K$35,5,FALSE)</f>
        <v>0</v>
      </c>
      <c r="V37" s="69" t="str">
        <f>VLOOKUP($Q37,Calculator!$C$4:$K$35,6,FALSE)&amp;" - "&amp;VLOOKUP($Q37,Calculator!$C$4:$K$35,7,FALSE)</f>
        <v>0 - 0</v>
      </c>
      <c r="W37" s="69">
        <f>VLOOKUP($Q37,Calculator!$C$4:$K$35,9,FALSE)</f>
        <v>0</v>
      </c>
      <c r="X37" s="19"/>
      <c r="Y37" s="118"/>
      <c r="CO37" s="24"/>
      <c r="CP37" s="24"/>
      <c r="CQ37" s="50"/>
      <c r="CR37" s="24"/>
    </row>
    <row r="38" spans="2:96" s="16" customFormat="1" ht="14.5" customHeight="1" x14ac:dyDescent="0.35">
      <c r="B38" s="51">
        <v>36</v>
      </c>
      <c r="C38" s="58" t="s">
        <v>123</v>
      </c>
      <c r="D38" s="59">
        <f t="shared" si="0"/>
        <v>44894.75</v>
      </c>
      <c r="E38" s="60">
        <f>Calculator!BX40</f>
        <v>44894.75</v>
      </c>
      <c r="F38" s="61" t="str">
        <f>K7</f>
        <v>Netherlands</v>
      </c>
      <c r="G38" s="61"/>
      <c r="H38" s="227"/>
      <c r="I38" s="228"/>
      <c r="J38" s="61"/>
      <c r="K38" s="62" t="str">
        <f>F22</f>
        <v>Qatar</v>
      </c>
      <c r="L38" s="62"/>
      <c r="M38" s="62"/>
      <c r="N38" s="63" t="s">
        <v>127</v>
      </c>
      <c r="O38" s="18"/>
      <c r="P38" s="69">
        <v>4</v>
      </c>
      <c r="Q38" s="70" t="str">
        <f>INDEX(Calculator!$U$24:$U$27,MATCH(4,Calculator!$BK$24:$BK$27,0),0)</f>
        <v>Canada</v>
      </c>
      <c r="R38" s="69">
        <f>VLOOKUP($Q38,Calculator!$C$4:$K$35,2,FALSE)</f>
        <v>0</v>
      </c>
      <c r="S38" s="69">
        <f>VLOOKUP($Q38,Calculator!$C$4:$K$35,3,FALSE)</f>
        <v>0</v>
      </c>
      <c r="T38" s="69">
        <f>VLOOKUP($Q38,Calculator!$C$4:$K$35,4,FALSE)</f>
        <v>0</v>
      </c>
      <c r="U38" s="69">
        <f>VLOOKUP($Q38,Calculator!$C$4:$K$35,5,FALSE)</f>
        <v>0</v>
      </c>
      <c r="V38" s="69" t="str">
        <f>VLOOKUP($Q38,Calculator!$C$4:$K$35,6,FALSE)&amp;" - "&amp;VLOOKUP($Q38,Calculator!$C$4:$K$35,7,FALSE)</f>
        <v>0 - 0</v>
      </c>
      <c r="W38" s="69">
        <f>VLOOKUP($Q38,Calculator!$C$4:$K$35,9,FALSE)</f>
        <v>0</v>
      </c>
      <c r="X38" s="19"/>
      <c r="Y38" s="118"/>
      <c r="CO38" s="24"/>
      <c r="CP38" s="24"/>
      <c r="CQ38" s="50"/>
      <c r="CR38" s="24"/>
    </row>
    <row r="39" spans="2:96" s="16" customFormat="1" ht="14.5" customHeight="1" x14ac:dyDescent="0.35">
      <c r="B39" s="51">
        <v>33</v>
      </c>
      <c r="C39" s="64" t="s">
        <v>125</v>
      </c>
      <c r="D39" s="65">
        <f t="shared" si="0"/>
        <v>44894.916666666664</v>
      </c>
      <c r="E39" s="66">
        <f>Calculator!BX41</f>
        <v>44894.916666666664</v>
      </c>
      <c r="F39" s="67" t="str">
        <f>K8</f>
        <v>Wales</v>
      </c>
      <c r="G39" s="67"/>
      <c r="H39" s="227"/>
      <c r="I39" s="228"/>
      <c r="J39" s="67"/>
      <c r="K39" s="16" t="str">
        <f>F6</f>
        <v>England</v>
      </c>
      <c r="N39" s="68" t="s">
        <v>128</v>
      </c>
      <c r="O39" s="18"/>
      <c r="P39" s="40"/>
      <c r="Q39" s="71"/>
      <c r="R39" s="18"/>
      <c r="S39" s="18"/>
      <c r="T39" s="18"/>
      <c r="U39" s="18"/>
      <c r="V39" s="18"/>
      <c r="W39" s="18"/>
      <c r="X39" s="19"/>
      <c r="Y39" s="118"/>
      <c r="CO39" s="24"/>
      <c r="CP39" s="24"/>
      <c r="CQ39" s="50"/>
      <c r="CR39" s="24"/>
    </row>
    <row r="40" spans="2:96" s="16" customFormat="1" ht="14.5" customHeight="1" x14ac:dyDescent="0.35">
      <c r="B40" s="51">
        <v>34</v>
      </c>
      <c r="C40" s="58" t="s">
        <v>125</v>
      </c>
      <c r="D40" s="59">
        <f t="shared" si="0"/>
        <v>44894.916666666664</v>
      </c>
      <c r="E40" s="60">
        <f>Calculator!BX42</f>
        <v>44894.916666666664</v>
      </c>
      <c r="F40" s="61" t="str">
        <f>K6</f>
        <v>Iran</v>
      </c>
      <c r="G40" s="61"/>
      <c r="H40" s="227"/>
      <c r="I40" s="228"/>
      <c r="J40" s="61"/>
      <c r="K40" s="62" t="str">
        <f>F8</f>
        <v>United States</v>
      </c>
      <c r="L40" s="62"/>
      <c r="M40" s="62"/>
      <c r="N40" s="63" t="s">
        <v>124</v>
      </c>
      <c r="O40" s="18"/>
      <c r="P40" s="259" t="str">
        <f>INDEX(Translation,MATCH("Group G",TransRef,0),MATCH(Setup!$C$5,LanguageRef,0))</f>
        <v>Group G</v>
      </c>
      <c r="Q40" s="259"/>
      <c r="R40" s="49" t="s">
        <v>117</v>
      </c>
      <c r="S40" s="49" t="s">
        <v>118</v>
      </c>
      <c r="T40" s="49" t="s">
        <v>119</v>
      </c>
      <c r="U40" s="49" t="s">
        <v>120</v>
      </c>
      <c r="V40" s="49" t="s">
        <v>121</v>
      </c>
      <c r="W40" s="49" t="s">
        <v>122</v>
      </c>
      <c r="X40" s="19"/>
      <c r="Y40" s="118"/>
      <c r="CO40" s="24"/>
      <c r="CP40" s="24"/>
      <c r="CQ40" s="50"/>
      <c r="CR40" s="24"/>
    </row>
    <row r="41" spans="2:96" s="16" customFormat="1" ht="14.5" customHeight="1" x14ac:dyDescent="0.35">
      <c r="B41" s="51">
        <v>37</v>
      </c>
      <c r="C41" s="64" t="s">
        <v>119</v>
      </c>
      <c r="D41" s="65">
        <f t="shared" si="0"/>
        <v>44895.75</v>
      </c>
      <c r="E41" s="66">
        <f>Calculator!BX43</f>
        <v>44895.75</v>
      </c>
      <c r="F41" s="67" t="str">
        <f>K12</f>
        <v>Australia</v>
      </c>
      <c r="G41" s="67"/>
      <c r="H41" s="227"/>
      <c r="I41" s="228"/>
      <c r="J41" s="67"/>
      <c r="K41" s="16" t="str">
        <f>F10</f>
        <v>Denmark</v>
      </c>
      <c r="N41" s="68" t="s">
        <v>133</v>
      </c>
      <c r="O41" s="18"/>
      <c r="P41" s="134">
        <v>1</v>
      </c>
      <c r="Q41" s="135" t="str">
        <f>INDEX(Calculator!$U$28:$U$31,MATCH(1,Calculator!$BK$28:$BK$31,0),0)</f>
        <v>Brazil</v>
      </c>
      <c r="R41" s="134">
        <f>VLOOKUP($Q41,Calculator!$C$4:$K$35,2,FALSE)</f>
        <v>0</v>
      </c>
      <c r="S41" s="134">
        <f>VLOOKUP($Q41,Calculator!$C$4:$K$35,3,FALSE)</f>
        <v>0</v>
      </c>
      <c r="T41" s="134">
        <f>VLOOKUP($Q41,Calculator!$C$4:$K$35,4,FALSE)</f>
        <v>0</v>
      </c>
      <c r="U41" s="134">
        <f>VLOOKUP($Q41,Calculator!$C$4:$K$35,5,FALSE)</f>
        <v>0</v>
      </c>
      <c r="V41" s="134" t="str">
        <f>VLOOKUP($Q41,Calculator!$C$4:$K$35,6,FALSE)&amp;" - "&amp;VLOOKUP($Q41,Calculator!$C$4:$K$35,7,FALSE)</f>
        <v>0 - 0</v>
      </c>
      <c r="W41" s="134">
        <f>VLOOKUP($Q41,Calculator!$C$4:$K$35,9,FALSE)</f>
        <v>0</v>
      </c>
      <c r="X41" s="19"/>
      <c r="Y41" s="118"/>
      <c r="CO41" s="24"/>
      <c r="CP41" s="24"/>
      <c r="CQ41" s="50"/>
      <c r="CR41" s="24"/>
    </row>
    <row r="42" spans="2:96" s="16" customFormat="1" ht="14.5" customHeight="1" x14ac:dyDescent="0.35">
      <c r="B42" s="51">
        <v>38</v>
      </c>
      <c r="C42" s="58" t="s">
        <v>119</v>
      </c>
      <c r="D42" s="59">
        <f t="shared" si="0"/>
        <v>44895.75</v>
      </c>
      <c r="E42" s="60">
        <f>Calculator!BX44</f>
        <v>44895.75</v>
      </c>
      <c r="F42" s="61" t="str">
        <f>K10</f>
        <v>Tunisia</v>
      </c>
      <c r="G42" s="61"/>
      <c r="H42" s="227"/>
      <c r="I42" s="228"/>
      <c r="J42" s="61"/>
      <c r="K42" s="62" t="str">
        <f>F12</f>
        <v>France</v>
      </c>
      <c r="L42" s="62"/>
      <c r="M42" s="62"/>
      <c r="N42" s="63" t="s">
        <v>131</v>
      </c>
      <c r="O42" s="18"/>
      <c r="P42" s="134">
        <v>2</v>
      </c>
      <c r="Q42" s="135" t="str">
        <f>INDEX(Calculator!$U$28:$U$31,MATCH(2,Calculator!$BK$28:$BK$31,0),0)</f>
        <v>Switzerland</v>
      </c>
      <c r="R42" s="134">
        <f>VLOOKUP($Q42,Calculator!$C$4:$K$35,2,FALSE)</f>
        <v>0</v>
      </c>
      <c r="S42" s="134">
        <f>VLOOKUP($Q42,Calculator!$C$4:$K$35,3,FALSE)</f>
        <v>0</v>
      </c>
      <c r="T42" s="134">
        <f>VLOOKUP($Q42,Calculator!$C$4:$K$35,4,FALSE)</f>
        <v>0</v>
      </c>
      <c r="U42" s="134">
        <f>VLOOKUP($Q42,Calculator!$C$4:$K$35,5,FALSE)</f>
        <v>0</v>
      </c>
      <c r="V42" s="134" t="str">
        <f>VLOOKUP($Q42,Calculator!$C$4:$K$35,6,FALSE)&amp;" - "&amp;VLOOKUP($Q42,Calculator!$C$4:$K$35,7,FALSE)</f>
        <v>0 - 0</v>
      </c>
      <c r="W42" s="134">
        <f>VLOOKUP($Q42,Calculator!$C$4:$K$35,9,FALSE)</f>
        <v>0</v>
      </c>
      <c r="X42" s="19"/>
      <c r="Y42" s="118"/>
      <c r="CO42" s="24"/>
      <c r="CP42" s="24"/>
      <c r="CQ42" s="50"/>
      <c r="CR42" s="24"/>
    </row>
    <row r="43" spans="2:96" s="16" customFormat="1" ht="14.5" customHeight="1" x14ac:dyDescent="0.35">
      <c r="B43" s="51">
        <v>39</v>
      </c>
      <c r="C43" s="64" t="s">
        <v>129</v>
      </c>
      <c r="D43" s="65">
        <f t="shared" si="0"/>
        <v>44895.916666666664</v>
      </c>
      <c r="E43" s="66">
        <f>Calculator!BX45</f>
        <v>44895.916666666664</v>
      </c>
      <c r="F43" s="67" t="str">
        <f>K11</f>
        <v>Poland</v>
      </c>
      <c r="G43" s="67"/>
      <c r="H43" s="227"/>
      <c r="I43" s="228"/>
      <c r="J43" s="67"/>
      <c r="K43" s="16" t="str">
        <f>F9</f>
        <v>Argentina</v>
      </c>
      <c r="N43" s="68" t="s">
        <v>132</v>
      </c>
      <c r="O43" s="18"/>
      <c r="P43" s="69">
        <v>3</v>
      </c>
      <c r="Q43" s="70" t="str">
        <f>INDEX(Calculator!$U$28:$U$31,MATCH(3,Calculator!$BK$28:$BK$31,0),0)</f>
        <v>Serbia</v>
      </c>
      <c r="R43" s="69">
        <f>VLOOKUP($Q43,Calculator!$C$4:$K$35,2,FALSE)</f>
        <v>0</v>
      </c>
      <c r="S43" s="69">
        <f>VLOOKUP($Q43,Calculator!$C$4:$K$35,3,FALSE)</f>
        <v>0</v>
      </c>
      <c r="T43" s="69">
        <f>VLOOKUP($Q43,Calculator!$C$4:$K$35,4,FALSE)</f>
        <v>0</v>
      </c>
      <c r="U43" s="69">
        <f>VLOOKUP($Q43,Calculator!$C$4:$K$35,5,FALSE)</f>
        <v>0</v>
      </c>
      <c r="V43" s="69" t="str">
        <f>VLOOKUP($Q43,Calculator!$C$4:$K$35,6,FALSE)&amp;" - "&amp;VLOOKUP($Q43,Calculator!$C$4:$K$35,7,FALSE)</f>
        <v>0 - 0</v>
      </c>
      <c r="W43" s="69">
        <f>VLOOKUP($Q43,Calculator!$C$4:$K$35,9,FALSE)</f>
        <v>0</v>
      </c>
      <c r="X43" s="19"/>
      <c r="Y43" s="118"/>
      <c r="CO43" s="24"/>
      <c r="CP43" s="24"/>
      <c r="CQ43" s="50"/>
      <c r="CR43" s="24"/>
    </row>
    <row r="44" spans="2:96" s="16" customFormat="1" ht="14.5" customHeight="1" x14ac:dyDescent="0.35">
      <c r="B44" s="51">
        <v>40</v>
      </c>
      <c r="C44" s="58" t="s">
        <v>129</v>
      </c>
      <c r="D44" s="59">
        <f t="shared" si="0"/>
        <v>44895.916666666664</v>
      </c>
      <c r="E44" s="60">
        <f>Calculator!BX46</f>
        <v>44895.916666666664</v>
      </c>
      <c r="F44" s="61" t="str">
        <f>K9</f>
        <v>Saudi Arabia</v>
      </c>
      <c r="G44" s="61"/>
      <c r="H44" s="227"/>
      <c r="I44" s="228"/>
      <c r="J44" s="61"/>
      <c r="K44" s="62" t="str">
        <f>F11</f>
        <v>Mexico</v>
      </c>
      <c r="L44" s="62"/>
      <c r="M44" s="62"/>
      <c r="N44" s="63" t="s">
        <v>130</v>
      </c>
      <c r="O44" s="18"/>
      <c r="P44" s="69">
        <v>4</v>
      </c>
      <c r="Q44" s="70" t="str">
        <f>INDEX(Calculator!$U$28:$U$31,MATCH(4,Calculator!$BK$28:$BK$31,0),0)</f>
        <v>Cameroon</v>
      </c>
      <c r="R44" s="69">
        <f>VLOOKUP($Q44,Calculator!$C$4:$K$35,2,FALSE)</f>
        <v>0</v>
      </c>
      <c r="S44" s="69">
        <f>VLOOKUP($Q44,Calculator!$C$4:$K$35,3,FALSE)</f>
        <v>0</v>
      </c>
      <c r="T44" s="69">
        <f>VLOOKUP($Q44,Calculator!$C$4:$K$35,4,FALSE)</f>
        <v>0</v>
      </c>
      <c r="U44" s="69">
        <f>VLOOKUP($Q44,Calculator!$C$4:$K$35,5,FALSE)</f>
        <v>0</v>
      </c>
      <c r="V44" s="69" t="str">
        <f>VLOOKUP($Q44,Calculator!$C$4:$K$35,6,FALSE)&amp;" - "&amp;VLOOKUP($Q44,Calculator!$C$4:$K$35,7,FALSE)</f>
        <v>0 - 0</v>
      </c>
      <c r="W44" s="69">
        <f>VLOOKUP($Q44,Calculator!$C$4:$K$35,9,FALSE)</f>
        <v>0</v>
      </c>
      <c r="X44" s="19"/>
      <c r="Y44" s="118"/>
      <c r="CO44" s="24"/>
      <c r="CP44" s="24"/>
      <c r="CQ44" s="50"/>
      <c r="CR44" s="24"/>
    </row>
    <row r="45" spans="2:96" s="16" customFormat="1" ht="14.5" customHeight="1" x14ac:dyDescent="0.35">
      <c r="B45" s="51">
        <v>41</v>
      </c>
      <c r="C45" s="64" t="s">
        <v>134</v>
      </c>
      <c r="D45" s="65">
        <f t="shared" si="0"/>
        <v>44896.75</v>
      </c>
      <c r="E45" s="66">
        <f>Calculator!BX47</f>
        <v>44896.75</v>
      </c>
      <c r="F45" s="67" t="str">
        <f>K13</f>
        <v>Croatia</v>
      </c>
      <c r="G45" s="67"/>
      <c r="H45" s="227"/>
      <c r="I45" s="228"/>
      <c r="J45" s="67"/>
      <c r="K45" s="16" t="str">
        <f>F16</f>
        <v>Belgium</v>
      </c>
      <c r="N45" s="68" t="s">
        <v>128</v>
      </c>
      <c r="O45" s="18"/>
      <c r="P45" s="40"/>
      <c r="Q45" s="71"/>
      <c r="R45" s="18"/>
      <c r="S45" s="18"/>
      <c r="T45" s="18"/>
      <c r="U45" s="18"/>
      <c r="V45" s="18"/>
      <c r="W45" s="18"/>
      <c r="X45" s="19"/>
      <c r="Y45" s="118"/>
      <c r="CO45" s="24"/>
      <c r="CP45" s="24"/>
      <c r="CQ45" s="50"/>
      <c r="CR45" s="24"/>
    </row>
    <row r="46" spans="2:96" s="16" customFormat="1" ht="14.5" customHeight="1" x14ac:dyDescent="0.35">
      <c r="B46" s="51">
        <v>42</v>
      </c>
      <c r="C46" s="58" t="s">
        <v>134</v>
      </c>
      <c r="D46" s="59">
        <f t="shared" si="0"/>
        <v>44896.75</v>
      </c>
      <c r="E46" s="60">
        <f>Calculator!BX48</f>
        <v>44896.75</v>
      </c>
      <c r="F46" s="61" t="str">
        <f>K16</f>
        <v>Canada</v>
      </c>
      <c r="G46" s="61"/>
      <c r="H46" s="227"/>
      <c r="I46" s="228"/>
      <c r="J46" s="61"/>
      <c r="K46" s="62" t="str">
        <f>F13</f>
        <v>Morocco</v>
      </c>
      <c r="L46" s="62"/>
      <c r="M46" s="62"/>
      <c r="N46" s="63" t="s">
        <v>124</v>
      </c>
      <c r="O46" s="18"/>
      <c r="P46" s="259" t="str">
        <f>INDEX(Translation,MATCH("Group H",TransRef,0),MATCH(Setup!$C$5,LanguageRef,0))</f>
        <v>Group H</v>
      </c>
      <c r="Q46" s="259"/>
      <c r="R46" s="49" t="s">
        <v>117</v>
      </c>
      <c r="S46" s="49" t="s">
        <v>118</v>
      </c>
      <c r="T46" s="49" t="s">
        <v>119</v>
      </c>
      <c r="U46" s="49" t="s">
        <v>120</v>
      </c>
      <c r="V46" s="49" t="s">
        <v>121</v>
      </c>
      <c r="W46" s="49" t="s">
        <v>122</v>
      </c>
      <c r="X46" s="19"/>
      <c r="Y46" s="118"/>
      <c r="CO46" s="24"/>
      <c r="CP46" s="24"/>
      <c r="CQ46" s="50"/>
      <c r="CR46" s="24"/>
    </row>
    <row r="47" spans="2:96" s="16" customFormat="1" ht="14.5" customHeight="1" x14ac:dyDescent="0.35">
      <c r="B47" s="51">
        <v>43</v>
      </c>
      <c r="C47" s="64" t="s">
        <v>135</v>
      </c>
      <c r="D47" s="65">
        <f t="shared" si="0"/>
        <v>44896.916666666664</v>
      </c>
      <c r="E47" s="66">
        <f>Calculator!BX49</f>
        <v>44896.916666666664</v>
      </c>
      <c r="F47" s="67" t="str">
        <f>K14</f>
        <v>Japan</v>
      </c>
      <c r="G47" s="67"/>
      <c r="H47" s="227"/>
      <c r="I47" s="228"/>
      <c r="J47" s="67"/>
      <c r="K47" s="16" t="str">
        <f>F15</f>
        <v>Spain</v>
      </c>
      <c r="N47" s="68" t="s">
        <v>126</v>
      </c>
      <c r="O47" s="18"/>
      <c r="P47" s="136">
        <v>1</v>
      </c>
      <c r="Q47" s="137" t="str">
        <f>INDEX(Calculator!$U$32:$U$35,MATCH(1,Calculator!$BK$32:$BK$35,0),0)</f>
        <v>Portugal</v>
      </c>
      <c r="R47" s="136">
        <f>VLOOKUP($Q47,Calculator!$C$4:$K$35,2,FALSE)</f>
        <v>0</v>
      </c>
      <c r="S47" s="136">
        <f>VLOOKUP($Q47,Calculator!$C$4:$K$35,3,FALSE)</f>
        <v>0</v>
      </c>
      <c r="T47" s="136">
        <f>VLOOKUP($Q47,Calculator!$C$4:$K$35,4,FALSE)</f>
        <v>0</v>
      </c>
      <c r="U47" s="136">
        <f>VLOOKUP($Q47,Calculator!$C$4:$K$35,5,FALSE)</f>
        <v>0</v>
      </c>
      <c r="V47" s="136" t="str">
        <f>VLOOKUP($Q47,Calculator!$C$4:$K$35,6,FALSE)&amp;" - "&amp;VLOOKUP($Q47,Calculator!$C$4:$K$35,7,FALSE)</f>
        <v>0 - 0</v>
      </c>
      <c r="W47" s="136">
        <f>VLOOKUP($Q47,Calculator!$C$4:$K$35,9,FALSE)</f>
        <v>0</v>
      </c>
      <c r="X47" s="19"/>
      <c r="Y47" s="118"/>
      <c r="CO47" s="24"/>
      <c r="CP47" s="24"/>
      <c r="CQ47" s="50"/>
      <c r="CR47" s="24"/>
    </row>
    <row r="48" spans="2:96" s="16" customFormat="1" ht="14.5" customHeight="1" x14ac:dyDescent="0.35">
      <c r="B48" s="51">
        <v>44</v>
      </c>
      <c r="C48" s="58" t="s">
        <v>135</v>
      </c>
      <c r="D48" s="59">
        <f t="shared" si="0"/>
        <v>44896.916666666664</v>
      </c>
      <c r="E48" s="60">
        <f>Calculator!BX50</f>
        <v>44896.916666666664</v>
      </c>
      <c r="F48" s="61" t="str">
        <f>K15</f>
        <v>Costa Rica</v>
      </c>
      <c r="G48" s="61"/>
      <c r="H48" s="227"/>
      <c r="I48" s="228"/>
      <c r="J48" s="61"/>
      <c r="K48" s="62" t="str">
        <f>F14</f>
        <v>Germany</v>
      </c>
      <c r="L48" s="62"/>
      <c r="M48" s="62"/>
      <c r="N48" s="63" t="s">
        <v>127</v>
      </c>
      <c r="O48" s="18"/>
      <c r="P48" s="136">
        <v>2</v>
      </c>
      <c r="Q48" s="137" t="str">
        <f>INDEX(Calculator!$U$32:$U$35,MATCH(2,Calculator!$BK$32:$BK$35,0),0)</f>
        <v>Uruguay</v>
      </c>
      <c r="R48" s="136">
        <f>VLOOKUP($Q48,Calculator!$C$4:$K$35,2,FALSE)</f>
        <v>0</v>
      </c>
      <c r="S48" s="136">
        <f>VLOOKUP($Q48,Calculator!$C$4:$K$35,3,FALSE)</f>
        <v>0</v>
      </c>
      <c r="T48" s="136">
        <f>VLOOKUP($Q48,Calculator!$C$4:$K$35,4,FALSE)</f>
        <v>0</v>
      </c>
      <c r="U48" s="136">
        <f>VLOOKUP($Q48,Calculator!$C$4:$K$35,5,FALSE)</f>
        <v>0</v>
      </c>
      <c r="V48" s="136" t="str">
        <f>VLOOKUP($Q48,Calculator!$C$4:$K$35,6,FALSE)&amp;" - "&amp;VLOOKUP($Q48,Calculator!$C$4:$K$35,7,FALSE)</f>
        <v>0 - 0</v>
      </c>
      <c r="W48" s="136">
        <f>VLOOKUP($Q48,Calculator!$C$4:$K$35,9,FALSE)</f>
        <v>0</v>
      </c>
      <c r="X48" s="19"/>
      <c r="Y48" s="118"/>
      <c r="CO48" s="24"/>
      <c r="CP48" s="24"/>
      <c r="CQ48" s="50"/>
      <c r="CR48" s="24"/>
    </row>
    <row r="49" spans="2:96" s="16" customFormat="1" ht="14.5" customHeight="1" x14ac:dyDescent="0.35">
      <c r="B49" s="51">
        <v>45</v>
      </c>
      <c r="C49" s="64" t="s">
        <v>137</v>
      </c>
      <c r="D49" s="65">
        <f t="shared" si="0"/>
        <v>44897.75</v>
      </c>
      <c r="E49" s="66">
        <f>Calculator!BX51</f>
        <v>44897.75</v>
      </c>
      <c r="F49" s="67" t="str">
        <f>K19</f>
        <v>Ghana</v>
      </c>
      <c r="G49" s="67"/>
      <c r="H49" s="227"/>
      <c r="I49" s="228"/>
      <c r="J49" s="67"/>
      <c r="K49" s="16" t="str">
        <f>F18</f>
        <v>Uruguay</v>
      </c>
      <c r="N49" s="68" t="s">
        <v>133</v>
      </c>
      <c r="O49" s="18"/>
      <c r="P49" s="69">
        <v>3</v>
      </c>
      <c r="Q49" s="70" t="str">
        <f>INDEX(Calculator!$U$32:$U$35,MATCH(3,Calculator!$BK$32:$BK$35,0),0)</f>
        <v>South Korea</v>
      </c>
      <c r="R49" s="69">
        <f>VLOOKUP($Q49,Calculator!$C$4:$K$35,2,FALSE)</f>
        <v>0</v>
      </c>
      <c r="S49" s="69">
        <f>VLOOKUP($Q49,Calculator!$C$4:$K$35,3,FALSE)</f>
        <v>0</v>
      </c>
      <c r="T49" s="69">
        <f>VLOOKUP($Q49,Calculator!$C$4:$K$35,4,FALSE)</f>
        <v>0</v>
      </c>
      <c r="U49" s="69">
        <f>VLOOKUP($Q49,Calculator!$C$4:$K$35,5,FALSE)</f>
        <v>0</v>
      </c>
      <c r="V49" s="69" t="str">
        <f>VLOOKUP($Q49,Calculator!$C$4:$K$35,6,FALSE)&amp;" - "&amp;VLOOKUP($Q49,Calculator!$C$4:$K$35,7,FALSE)</f>
        <v>0 - 0</v>
      </c>
      <c r="W49" s="69">
        <f>VLOOKUP($Q49,Calculator!$C$4:$K$35,9,FALSE)</f>
        <v>0</v>
      </c>
      <c r="X49" s="19"/>
      <c r="Y49" s="118"/>
      <c r="CO49" s="24"/>
      <c r="CP49" s="24"/>
      <c r="CQ49" s="50"/>
      <c r="CR49" s="24"/>
    </row>
    <row r="50" spans="2:96" s="16" customFormat="1" ht="14.5" customHeight="1" x14ac:dyDescent="0.35">
      <c r="B50" s="51">
        <v>46</v>
      </c>
      <c r="C50" s="58" t="s">
        <v>137</v>
      </c>
      <c r="D50" s="59">
        <f t="shared" si="0"/>
        <v>44897.75</v>
      </c>
      <c r="E50" s="60">
        <f>Calculator!BX52</f>
        <v>44897.75</v>
      </c>
      <c r="F50" s="61" t="str">
        <f>K18</f>
        <v>South Korea</v>
      </c>
      <c r="G50" s="61"/>
      <c r="H50" s="227"/>
      <c r="I50" s="228"/>
      <c r="J50" s="61"/>
      <c r="K50" s="62" t="str">
        <f>F19</f>
        <v>Portugal</v>
      </c>
      <c r="L50" s="62"/>
      <c r="M50" s="62"/>
      <c r="N50" s="63" t="s">
        <v>131</v>
      </c>
      <c r="P50" s="69">
        <v>4</v>
      </c>
      <c r="Q50" s="70" t="str">
        <f>INDEX(Calculator!$U$32:$U$35,MATCH(4,Calculator!$BK$32:$BK$35,0),0)</f>
        <v>Ghana</v>
      </c>
      <c r="R50" s="69">
        <f>VLOOKUP($Q50,Calculator!$C$4:$K$35,2,FALSE)</f>
        <v>0</v>
      </c>
      <c r="S50" s="69">
        <f>VLOOKUP($Q50,Calculator!$C$4:$K$35,3,FALSE)</f>
        <v>0</v>
      </c>
      <c r="T50" s="69">
        <f>VLOOKUP($Q50,Calculator!$C$4:$K$35,4,FALSE)</f>
        <v>0</v>
      </c>
      <c r="U50" s="69">
        <f>VLOOKUP($Q50,Calculator!$C$4:$K$35,5,FALSE)</f>
        <v>0</v>
      </c>
      <c r="V50" s="69" t="str">
        <f>VLOOKUP($Q50,Calculator!$C$4:$K$35,6,FALSE)&amp;" - "&amp;VLOOKUP($Q50,Calculator!$C$4:$K$35,7,FALSE)</f>
        <v>0 - 0</v>
      </c>
      <c r="W50" s="69">
        <f>VLOOKUP($Q50,Calculator!$C$4:$K$35,9,FALSE)</f>
        <v>0</v>
      </c>
      <c r="X50" s="19"/>
      <c r="Y50" s="118"/>
      <c r="CO50" s="24"/>
      <c r="CP50" s="24"/>
      <c r="CQ50" s="50"/>
      <c r="CR50" s="24"/>
    </row>
    <row r="51" spans="2:96" s="16" customFormat="1" ht="14.5" customHeight="1" x14ac:dyDescent="0.35">
      <c r="B51" s="51">
        <v>47</v>
      </c>
      <c r="C51" s="64" t="s">
        <v>136</v>
      </c>
      <c r="D51" s="65">
        <f t="shared" si="0"/>
        <v>44897.916666666664</v>
      </c>
      <c r="E51" s="66">
        <f>Calculator!BX53</f>
        <v>44897.916666666664</v>
      </c>
      <c r="F51" s="67" t="str">
        <f>K20</f>
        <v>Serbia</v>
      </c>
      <c r="G51" s="67"/>
      <c r="H51" s="227"/>
      <c r="I51" s="228"/>
      <c r="J51" s="67"/>
      <c r="K51" s="16" t="str">
        <f>F17</f>
        <v>Switzerland</v>
      </c>
      <c r="N51" s="68" t="s">
        <v>132</v>
      </c>
      <c r="P51" s="18"/>
      <c r="Q51" s="18"/>
      <c r="R51" s="18"/>
      <c r="S51" s="18"/>
      <c r="X51" s="19"/>
      <c r="Y51" s="118"/>
      <c r="CO51" s="24"/>
      <c r="CP51" s="24"/>
      <c r="CQ51" s="50"/>
      <c r="CR51" s="24"/>
    </row>
    <row r="52" spans="2:96" s="16" customFormat="1" ht="14.5" customHeight="1" x14ac:dyDescent="0.35">
      <c r="B52" s="51">
        <v>48</v>
      </c>
      <c r="C52" s="58" t="s">
        <v>136</v>
      </c>
      <c r="D52" s="59">
        <f t="shared" si="0"/>
        <v>44897.916666666664</v>
      </c>
      <c r="E52" s="60">
        <f>Calculator!BX54</f>
        <v>44897.916666666664</v>
      </c>
      <c r="F52" s="61" t="str">
        <f>K17</f>
        <v>Cameroon</v>
      </c>
      <c r="G52" s="61"/>
      <c r="H52" s="234"/>
      <c r="I52" s="235"/>
      <c r="J52" s="61"/>
      <c r="K52" s="62" t="str">
        <f>F20</f>
        <v>Brazil</v>
      </c>
      <c r="L52" s="62"/>
      <c r="M52" s="62"/>
      <c r="N52" s="63" t="s">
        <v>130</v>
      </c>
      <c r="P52" s="18"/>
      <c r="Q52" s="18"/>
      <c r="R52" s="18"/>
      <c r="S52" s="18"/>
      <c r="X52" s="19"/>
      <c r="Y52" s="118"/>
      <c r="CO52" s="24"/>
      <c r="CP52" s="24"/>
      <c r="CQ52" s="50"/>
      <c r="CR52" s="24"/>
    </row>
    <row r="53" spans="2:96" s="16" customFormat="1" ht="14.5" customHeight="1" x14ac:dyDescent="0.35">
      <c r="B53" s="74" t="str">
        <f>INDEX(Translation,MATCH("Knock Out Rounds",TransRef,0),MATCH(Setup!C5,LanguageRef,0))</f>
        <v>Knock Out Rounds</v>
      </c>
      <c r="C53" s="75"/>
      <c r="D53" s="76"/>
      <c r="E53" s="77"/>
      <c r="F53" s="78"/>
      <c r="G53" s="78"/>
      <c r="H53" s="233"/>
      <c r="I53" s="233"/>
      <c r="J53" s="78"/>
      <c r="K53" s="79"/>
      <c r="L53" s="260" t="s">
        <v>138</v>
      </c>
      <c r="M53" s="260"/>
      <c r="N53" s="80"/>
      <c r="P53" s="261" t="str">
        <f>UPPER(INDEX(Translation,MATCH("World Cup 2022 Champion",TransRef,0),MATCH(Setup!$C$5,LanguageRef,0)))</f>
        <v>WORLD CUP 2022 CHAMPION</v>
      </c>
      <c r="Q53" s="261"/>
      <c r="R53" s="261"/>
      <c r="S53" s="261"/>
      <c r="T53" s="261"/>
      <c r="U53" s="261"/>
      <c r="V53" s="261"/>
      <c r="W53" s="261"/>
      <c r="X53" s="19"/>
      <c r="Y53" s="118"/>
      <c r="CO53" s="24"/>
      <c r="CP53" s="24"/>
      <c r="CQ53" s="50"/>
      <c r="CR53" s="24"/>
    </row>
    <row r="54" spans="2:96" s="16" customFormat="1" ht="14.5" customHeight="1" thickBot="1" x14ac:dyDescent="0.4">
      <c r="B54" s="81">
        <v>49</v>
      </c>
      <c r="C54" s="256" t="s">
        <v>139</v>
      </c>
      <c r="D54" s="140">
        <f t="shared" si="0"/>
        <v>44898.75</v>
      </c>
      <c r="E54" s="141">
        <f>Calculator!BX55</f>
        <v>44898.75</v>
      </c>
      <c r="F54" s="142" t="str">
        <f>IF(SUM(R5:R8)=12,Q5,INDEX(Translation,MATCH("Group A Winner",TransRef,0),MATCH(Setup!C5,LanguageRef,0)))</f>
        <v>Group A Winner</v>
      </c>
      <c r="G54" s="143"/>
      <c r="H54" s="229"/>
      <c r="I54" s="230"/>
      <c r="J54" s="143"/>
      <c r="K54" s="144" t="str">
        <f>IF(SUM(R11:R14)=12,Q12,INDEX(Translation,MATCH("Group B Runner Up",TransRef,0),MATCH(Setup!C5,LanguageRef,0)))</f>
        <v>Group B Runner Up</v>
      </c>
      <c r="L54" s="82"/>
      <c r="M54" s="83"/>
      <c r="N54" s="145" t="s">
        <v>126</v>
      </c>
      <c r="P54" s="261"/>
      <c r="Q54" s="261"/>
      <c r="R54" s="261"/>
      <c r="S54" s="261"/>
      <c r="T54" s="261"/>
      <c r="U54" s="261"/>
      <c r="V54" s="261"/>
      <c r="W54" s="261"/>
      <c r="X54" s="19"/>
      <c r="Y54" s="118"/>
      <c r="CO54" s="24"/>
      <c r="CP54" s="24"/>
      <c r="CQ54" s="50"/>
      <c r="CR54" s="24"/>
    </row>
    <row r="55" spans="2:96" s="16" customFormat="1" ht="14.5" customHeight="1" x14ac:dyDescent="0.35">
      <c r="B55" s="84">
        <v>50</v>
      </c>
      <c r="C55" s="256"/>
      <c r="D55" s="146">
        <f t="shared" si="0"/>
        <v>44898.916666666664</v>
      </c>
      <c r="E55" s="147">
        <f>Calculator!BX56</f>
        <v>44898.916666666664</v>
      </c>
      <c r="F55" s="148" t="str">
        <f>IF(SUM(R17:R20)=12,Q17,INDEX(Translation,MATCH("Group C Winner",TransRef,0),MATCH(Setup!C5,LanguageRef,0)))</f>
        <v>Group C Winner</v>
      </c>
      <c r="G55" s="149"/>
      <c r="H55" s="231"/>
      <c r="I55" s="232"/>
      <c r="J55" s="149"/>
      <c r="K55" s="11" t="str">
        <f>IF(SUM(R23:R26)=12,Q24,INDEX(Translation,MATCH("Group D Runner Up",TransRef,0),MATCH(Setup!C5,LanguageRef,0)))</f>
        <v>Group D Runner Up</v>
      </c>
      <c r="L55" s="238"/>
      <c r="M55" s="239"/>
      <c r="N55" s="150" t="s">
        <v>128</v>
      </c>
      <c r="P55" s="261"/>
      <c r="Q55" s="261"/>
      <c r="R55" s="261"/>
      <c r="S55" s="261"/>
      <c r="T55" s="261"/>
      <c r="U55" s="261"/>
      <c r="V55" s="261"/>
      <c r="W55" s="261"/>
      <c r="X55" s="19"/>
      <c r="Y55" s="118"/>
      <c r="CO55" s="24"/>
      <c r="CP55" s="24"/>
      <c r="CQ55" s="50"/>
      <c r="CR55" s="24"/>
    </row>
    <row r="56" spans="2:96" s="16" customFormat="1" ht="14.5" customHeight="1" x14ac:dyDescent="0.35">
      <c r="B56" s="84">
        <v>52</v>
      </c>
      <c r="C56" s="256"/>
      <c r="D56" s="59">
        <f t="shared" si="0"/>
        <v>44899.75</v>
      </c>
      <c r="E56" s="60">
        <f>Calculator!BX57</f>
        <v>44899.75</v>
      </c>
      <c r="F56" s="61" t="str">
        <f>IF(SUM(R23:R26)=12,Q23,INDEX(Translation,MATCH("Group D Winner",TransRef,0),MATCH(Setup!C5,LanguageRef,0)))</f>
        <v>Group D Winner</v>
      </c>
      <c r="G56" s="85"/>
      <c r="H56" s="231"/>
      <c r="I56" s="232"/>
      <c r="J56" s="85"/>
      <c r="K56" s="62" t="str">
        <f>IF(SUM(R17:R20)=12,Q18,INDEX(Translation,MATCH("Group C Runner Up",TransRef,0),MATCH(Setup!C5,LanguageRef,0)))</f>
        <v>Group C Runner Up</v>
      </c>
      <c r="L56" s="240"/>
      <c r="M56" s="241"/>
      <c r="N56" s="86" t="s">
        <v>124</v>
      </c>
      <c r="P56" s="261"/>
      <c r="Q56" s="261"/>
      <c r="R56" s="261"/>
      <c r="S56" s="261"/>
      <c r="T56" s="261"/>
      <c r="U56" s="261"/>
      <c r="V56" s="261"/>
      <c r="W56" s="261"/>
      <c r="X56" s="19"/>
      <c r="Y56" s="118"/>
      <c r="CO56" s="24"/>
      <c r="CP56" s="24"/>
      <c r="CQ56" s="50" t="s">
        <v>140</v>
      </c>
      <c r="CR56" s="24"/>
    </row>
    <row r="57" spans="2:96" s="16" customFormat="1" ht="14.5" customHeight="1" x14ac:dyDescent="0.35">
      <c r="B57" s="84">
        <v>51</v>
      </c>
      <c r="C57" s="256"/>
      <c r="D57" s="146">
        <f t="shared" si="0"/>
        <v>44899.916666666664</v>
      </c>
      <c r="E57" s="147">
        <f>Calculator!BX58</f>
        <v>44899.916666666664</v>
      </c>
      <c r="F57" s="148" t="str">
        <f>IF(SUM(R11:R14)=12,Q11,INDEX(Translation,MATCH("Group B Winner",TransRef,0),MATCH(Setup!C5,LanguageRef,0)))</f>
        <v>Group B Winner</v>
      </c>
      <c r="G57" s="149"/>
      <c r="H57" s="231"/>
      <c r="I57" s="232"/>
      <c r="J57" s="149"/>
      <c r="K57" s="11" t="str">
        <f>IF(SUM(R5:R8)=12,Q6,INDEX(Translation,MATCH("Group A Runner Up",TransRef,0),MATCH(Setup!C5,LanguageRef,0)))</f>
        <v>Group A Runner Up</v>
      </c>
      <c r="L57" s="242"/>
      <c r="M57" s="243"/>
      <c r="N57" s="150" t="s">
        <v>127</v>
      </c>
      <c r="P57" s="262" t="str">
        <f>UPPER(IF(AND(H69&lt;&gt;"",I69&lt;&gt;""),IF((H69+L69)&gt;(I69+M69),F69,IF((H69+L69)&lt;(I69+M69),K69,INDEX(Translation,MATCH("World Cup 2022 Champion",TransRef,0),MATCH(Setup!C5,LanguageRef,0)))),INDEX(Translation,MATCH("World Cup 2022 Champion",TransRef,0),MATCH(Setup!C5,LanguageRef,0))))</f>
        <v>WORLD CUP 2022 CHAMPION</v>
      </c>
      <c r="Q57" s="262"/>
      <c r="R57" s="262"/>
      <c r="S57" s="262"/>
      <c r="T57" s="262"/>
      <c r="U57" s="262"/>
      <c r="V57" s="262"/>
      <c r="W57" s="262"/>
      <c r="X57" s="19"/>
      <c r="Y57" s="118"/>
      <c r="CO57" s="24"/>
      <c r="CP57" s="24"/>
      <c r="CQ57" s="50" t="s">
        <v>141</v>
      </c>
      <c r="CR57" s="24"/>
    </row>
    <row r="58" spans="2:96" s="16" customFormat="1" ht="14.5" customHeight="1" x14ac:dyDescent="0.35">
      <c r="B58" s="84">
        <v>53</v>
      </c>
      <c r="C58" s="256"/>
      <c r="D58" s="59">
        <f t="shared" si="0"/>
        <v>44900.75</v>
      </c>
      <c r="E58" s="60">
        <f>Calculator!BX59</f>
        <v>44900.75</v>
      </c>
      <c r="F58" s="61" t="str">
        <f>IF(SUM(R29:R32)=12,Q29,INDEX(Translation,MATCH("Group E Winner",TransRef,0),MATCH(Setup!C5,LanguageRef,0)))</f>
        <v>Group E Winner</v>
      </c>
      <c r="G58" s="85"/>
      <c r="H58" s="231"/>
      <c r="I58" s="232"/>
      <c r="J58" s="85"/>
      <c r="K58" s="62" t="str">
        <f>IF(SUM(R35:R38)=12,Q36,INDEX(Translation,MATCH("Group F Runner Up",TransRef,0),MATCH(Setup!C5,LanguageRef,0)))</f>
        <v>Group F Runner Up</v>
      </c>
      <c r="L58" s="240"/>
      <c r="M58" s="241"/>
      <c r="N58" s="86" t="s">
        <v>133</v>
      </c>
      <c r="P58" s="262"/>
      <c r="Q58" s="262"/>
      <c r="R58" s="262"/>
      <c r="S58" s="262"/>
      <c r="T58" s="262"/>
      <c r="U58" s="262"/>
      <c r="V58" s="262"/>
      <c r="W58" s="262"/>
      <c r="X58" s="19"/>
      <c r="Y58" s="118"/>
      <c r="CO58" s="24"/>
      <c r="CP58" s="24"/>
      <c r="CQ58" s="50" t="s">
        <v>142</v>
      </c>
      <c r="CR58" s="24"/>
    </row>
    <row r="59" spans="2:96" s="16" customFormat="1" ht="14.5" customHeight="1" x14ac:dyDescent="0.35">
      <c r="B59" s="84">
        <v>54</v>
      </c>
      <c r="C59" s="256"/>
      <c r="D59" s="146">
        <f t="shared" si="0"/>
        <v>44900.916666666664</v>
      </c>
      <c r="E59" s="147">
        <f>Calculator!BX60</f>
        <v>44900.916666666664</v>
      </c>
      <c r="F59" s="148" t="str">
        <f>IF(SUM(R41:R44)=12,Q41,INDEX(Translation,MATCH("Group G Winner",TransRef,0),MATCH(Setup!C5,LanguageRef,0)))</f>
        <v>Group G Winner</v>
      </c>
      <c r="G59" s="149"/>
      <c r="H59" s="231"/>
      <c r="I59" s="232"/>
      <c r="J59" s="149"/>
      <c r="K59" s="11" t="str">
        <f>IF(SUM(R47:R50)=12,Q48,INDEX(Translation,MATCH("Group H Runner Up",TransRef,0),MATCH(Setup!C5,LanguageRef,0)))</f>
        <v>Group H Runner Up</v>
      </c>
      <c r="L59" s="242"/>
      <c r="M59" s="243"/>
      <c r="N59" s="150" t="s">
        <v>132</v>
      </c>
      <c r="P59" s="262"/>
      <c r="Q59" s="262"/>
      <c r="R59" s="262"/>
      <c r="S59" s="262"/>
      <c r="T59" s="262"/>
      <c r="U59" s="262"/>
      <c r="V59" s="262"/>
      <c r="W59" s="262"/>
      <c r="X59" s="19"/>
      <c r="Y59" s="118"/>
      <c r="CO59" s="24"/>
      <c r="CP59" s="24"/>
      <c r="CQ59" s="50" t="s">
        <v>143</v>
      </c>
      <c r="CR59" s="24"/>
    </row>
    <row r="60" spans="2:96" s="16" customFormat="1" ht="14.5" customHeight="1" x14ac:dyDescent="0.35">
      <c r="B60" s="84">
        <v>55</v>
      </c>
      <c r="C60" s="256"/>
      <c r="D60" s="59">
        <f t="shared" si="0"/>
        <v>44901.75</v>
      </c>
      <c r="E60" s="60">
        <f>Calculator!BX61</f>
        <v>44901.75</v>
      </c>
      <c r="F60" s="61" t="str">
        <f>IF(SUM(R35:R38)=12,Q35,INDEX(Translation,MATCH("Group F Winner",TransRef,0),MATCH(Setup!C5,LanguageRef,0)))</f>
        <v>Group F Winner</v>
      </c>
      <c r="G60" s="85"/>
      <c r="H60" s="231"/>
      <c r="I60" s="232"/>
      <c r="J60" s="85"/>
      <c r="K60" s="62" t="str">
        <f>IF(SUM(R29:R32)=12,Q30,INDEX(Translation,MATCH("Group E Runner Up",TransRef,0),MATCH(Setup!C5,LanguageRef,0)))</f>
        <v>Group E Runner Up</v>
      </c>
      <c r="L60" s="240"/>
      <c r="M60" s="241"/>
      <c r="N60" s="86" t="s">
        <v>131</v>
      </c>
      <c r="P60" s="262"/>
      <c r="Q60" s="262"/>
      <c r="R60" s="262"/>
      <c r="S60" s="262"/>
      <c r="T60" s="262"/>
      <c r="U60" s="262"/>
      <c r="V60" s="262"/>
      <c r="W60" s="262"/>
      <c r="X60" s="19"/>
      <c r="Y60" s="118"/>
      <c r="CO60" s="24"/>
      <c r="CP60" s="24"/>
      <c r="CQ60" s="50" t="s">
        <v>144</v>
      </c>
      <c r="CR60" s="24"/>
    </row>
    <row r="61" spans="2:96" s="16" customFormat="1" ht="14.5" customHeight="1" x14ac:dyDescent="0.35">
      <c r="B61" s="87">
        <v>56</v>
      </c>
      <c r="C61" s="256"/>
      <c r="D61" s="162">
        <f t="shared" si="0"/>
        <v>44901.916666666664</v>
      </c>
      <c r="E61" s="152">
        <f>Calculator!BX62</f>
        <v>44901.916666666664</v>
      </c>
      <c r="F61" s="153" t="str">
        <f>IF(SUM(R47:R50)=12,Q47,INDEX(Translation,MATCH("Group H Winner",TransRef,0),MATCH(Setup!C5,LanguageRef,0)))</f>
        <v>Group H Winner</v>
      </c>
      <c r="G61" s="154"/>
      <c r="H61" s="236"/>
      <c r="I61" s="237"/>
      <c r="J61" s="154"/>
      <c r="K61" s="155" t="str">
        <f>IF(SUM(R41:R44)=12,Q42,INDEX(Translation,MATCH("Group G Runner Up",TransRef,0),MATCH(Setup!C5,LanguageRef,0)))</f>
        <v>Group G Runner Up</v>
      </c>
      <c r="L61" s="246"/>
      <c r="M61" s="247"/>
      <c r="N61" s="156" t="s">
        <v>130</v>
      </c>
      <c r="P61" s="262"/>
      <c r="Q61" s="262"/>
      <c r="R61" s="262"/>
      <c r="S61" s="262"/>
      <c r="T61" s="262"/>
      <c r="U61" s="262"/>
      <c r="V61" s="262"/>
      <c r="W61" s="262"/>
      <c r="X61" s="19"/>
      <c r="Y61" s="118"/>
      <c r="CO61" s="24"/>
      <c r="CP61" s="24"/>
      <c r="CQ61" s="50" t="s">
        <v>145</v>
      </c>
      <c r="CR61" s="24"/>
    </row>
    <row r="62" spans="2:96" s="16" customFormat="1" ht="14.5" customHeight="1" x14ac:dyDescent="0.35">
      <c r="B62" s="84">
        <v>58</v>
      </c>
      <c r="C62" s="265" t="s">
        <v>146</v>
      </c>
      <c r="D62" s="59">
        <f t="shared" si="0"/>
        <v>44904.75</v>
      </c>
      <c r="E62" s="60">
        <f>Calculator!BX63</f>
        <v>44904.75</v>
      </c>
      <c r="F62" s="61" t="str">
        <f>IF(AND(H58&lt;&gt;"",I58&lt;&gt;""),IF((H58+L58)&gt;(I58+M58),F58,IF((H58+L58)&lt;(I58+M58),K58,INDEX(Translation,MATCH("Match 53 Winner",TransRef,0),MATCH(Setup!C5,LanguageRef,0)))),INDEX(Translation,MATCH("Match 53 Winner",TransRef,0),MATCH(Setup!C5,LanguageRef,0)))</f>
        <v>Match 53 Winner</v>
      </c>
      <c r="G62" s="85"/>
      <c r="H62" s="229"/>
      <c r="I62" s="230"/>
      <c r="J62" s="85"/>
      <c r="K62" s="62" t="str">
        <f>IF(AND(H59&lt;&gt;"",I59&lt;&gt;""),IF((H59+L59)&gt;(I59+M59),F59,IF((H59+L59)&lt;(I59+M59),K59,INDEX(Translation,MATCH("Match 54 Winner",TransRef,0),MATCH(Setup!C5,LanguageRef,0)))),INDEX(Translation,MATCH("Match 54 Winner",TransRef,0),MATCH(Setup!C5,LanguageRef,0)))</f>
        <v>Match 54 Winner</v>
      </c>
      <c r="L62" s="244"/>
      <c r="M62" s="245"/>
      <c r="N62" s="86" t="s">
        <v>131</v>
      </c>
      <c r="P62" s="257" t="str">
        <f>INDEX(Translation,MATCH("Second Place",TransRef,0),MATCH(Setup!$C$5,LanguageRef,0))</f>
        <v>Second place</v>
      </c>
      <c r="Q62" s="257"/>
      <c r="R62" s="257"/>
      <c r="S62" s="257"/>
      <c r="T62" s="257"/>
      <c r="U62" s="257"/>
      <c r="V62" s="257"/>
      <c r="W62" s="257"/>
      <c r="X62" s="19"/>
      <c r="Y62" s="118"/>
      <c r="CO62" s="24"/>
      <c r="CP62" s="24"/>
      <c r="CQ62" s="50" t="s">
        <v>147</v>
      </c>
      <c r="CR62" s="24"/>
    </row>
    <row r="63" spans="2:96" ht="14.5" customHeight="1" x14ac:dyDescent="0.35">
      <c r="B63" s="84">
        <v>57</v>
      </c>
      <c r="C63" s="266"/>
      <c r="D63" s="146">
        <f t="shared" si="0"/>
        <v>44904.916666666664</v>
      </c>
      <c r="E63" s="147">
        <f>Calculator!BX64</f>
        <v>44904.916666666664</v>
      </c>
      <c r="F63" s="148" t="str">
        <f>IF(AND(H54&lt;&gt;"",I54&lt;&gt;""),IF((H54+L54)&gt;(I54+M54),F54,IF((H54+L54)&lt;(I54+M54),K54,INDEX(Translation,MATCH("Match 49 Winner",TransRef,0),MATCH(Setup!C5,LanguageRef,0)))),INDEX(Translation,MATCH("Match 49 Winner",TransRef,0),MATCH(Setup!C5,LanguageRef,0)))</f>
        <v>Match 49 Winner</v>
      </c>
      <c r="G63" s="149"/>
      <c r="H63" s="231"/>
      <c r="I63" s="232"/>
      <c r="J63" s="149"/>
      <c r="K63" s="11" t="str">
        <f>IF(AND(H55&lt;&gt;"",I55&lt;&gt;""),IF((H55+L55)&gt;(I55+M55),F55,IF((H55+L55)&lt;(I55+M55),K55,INDEX(Translation,MATCH("Match 50 Winner",TransRef,0),MATCH(Setup!C5,LanguageRef,0)))),INDEX(Translation,MATCH("Match 50 Winner",TransRef,0),MATCH(Setup!C5,LanguageRef,0)))</f>
        <v>Match 50 Winner</v>
      </c>
      <c r="L63" s="242"/>
      <c r="M63" s="243"/>
      <c r="N63" s="150" t="s">
        <v>130</v>
      </c>
      <c r="O63" s="16"/>
      <c r="P63" s="257"/>
      <c r="Q63" s="257"/>
      <c r="R63" s="257"/>
      <c r="S63" s="257"/>
      <c r="T63" s="257"/>
      <c r="U63" s="257"/>
      <c r="V63" s="257"/>
      <c r="W63" s="257"/>
      <c r="X63" s="19"/>
      <c r="Y63" s="118"/>
    </row>
    <row r="64" spans="2:96" ht="14.5" customHeight="1" x14ac:dyDescent="0.35">
      <c r="B64" s="84">
        <v>60</v>
      </c>
      <c r="C64" s="266"/>
      <c r="D64" s="59">
        <f t="shared" si="0"/>
        <v>44905.75</v>
      </c>
      <c r="E64" s="60">
        <f>Calculator!BX65</f>
        <v>44905.75</v>
      </c>
      <c r="F64" s="61" t="str">
        <f>IF(AND(H60&lt;&gt;"",I60&lt;&gt;""),IF((H60+L60)&gt;(I60+M60),F60,IF((H60+L60)&lt;(I60+M60),K60,INDEX(Translation,MATCH("Match 55 Winner",TransRef,0),MATCH(Setup!C5,LanguageRef,0)))),INDEX(Translation,MATCH("Match 55 Winner",TransRef,0),MATCH(Setup!C5,LanguageRef,0)))</f>
        <v>Match 55 Winner</v>
      </c>
      <c r="G64" s="85"/>
      <c r="H64" s="231"/>
      <c r="I64" s="232"/>
      <c r="J64" s="85"/>
      <c r="K64" s="62" t="str">
        <f>IF(AND(H61&lt;&gt;"",I61&lt;&gt;""),IF((H61+L61)&gt;(I61+M61),F61,IF((H61+L61)&lt;(I61+M61),K61,INDEX(Translation,MATCH("Match 56 Winner",TransRef,0),MATCH(Setup!C5,LanguageRef,0)))),INDEX(Translation,MATCH("Match 56 Winner",TransRef,0),MATCH(Setup!C5,LanguageRef,0)))</f>
        <v>Match 56 Winner</v>
      </c>
      <c r="L64" s="240"/>
      <c r="M64" s="241"/>
      <c r="N64" s="86" t="s">
        <v>124</v>
      </c>
      <c r="O64" s="16"/>
      <c r="P64" s="258" t="str">
        <f>UPPER(IF(AND(H69&lt;&gt;"",I69&lt;&gt;""),IF((H69+L69)&lt;(I69+M69),F69,IF((H69+L69)&gt;(I69+M69),K69,INDEX(Translation,MATCH("World Cup 2022 Runner Up",TransRef,0),MATCH(Setup!C5,LanguageRef,0)))),INDEX(Translation,MATCH("World Cup 2022 Runner Up",TransRef,0),MATCH(Setup!C5,LanguageRef,0))))</f>
        <v>WORLD CUP 2022 RUNNER UP</v>
      </c>
      <c r="Q64" s="258"/>
      <c r="R64" s="258"/>
      <c r="S64" s="258"/>
      <c r="T64" s="258"/>
      <c r="U64" s="258"/>
      <c r="V64" s="258"/>
      <c r="W64" s="258"/>
      <c r="X64" s="19"/>
      <c r="Y64" s="118"/>
    </row>
    <row r="65" spans="2:25" ht="14.5" customHeight="1" x14ac:dyDescent="0.35">
      <c r="B65" s="87">
        <v>59</v>
      </c>
      <c r="C65" s="266"/>
      <c r="D65" s="151">
        <f t="shared" si="0"/>
        <v>44905.916666666664</v>
      </c>
      <c r="E65" s="152">
        <f>Calculator!BX66</f>
        <v>44905.916666666664</v>
      </c>
      <c r="F65" s="153" t="str">
        <f>IF(AND(H57&lt;&gt;"",I57&lt;&gt;""),IF((H57+L57)&gt;(I57+M57),F57,IF((H57+L57)&lt;(I57+M57),K57,INDEX(Translation,MATCH("Match 51 Winner",TransRef,0),MATCH(Setup!C5,LanguageRef,0)))),INDEX(Translation,MATCH("Match 51 Winner",TransRef,0),MATCH(Setup!C5,LanguageRef,0)))</f>
        <v>Match 51 Winner</v>
      </c>
      <c r="G65" s="154"/>
      <c r="H65" s="236"/>
      <c r="I65" s="237"/>
      <c r="J65" s="154"/>
      <c r="K65" s="155" t="str">
        <f>IF(AND(H56&lt;&gt;"",I56&lt;&gt;""),IF((H56+L56)&gt;(I56+M56),F56,IF((H56+L56)&lt;(I56+M56),K56,INDEX(Translation,MATCH("Match 52 Winner",TransRef,0),MATCH(Setup!C5,LanguageRef,0)))),INDEX(Translation,MATCH("Match 52 Winner",TransRef,0),MATCH(Setup!C5,LanguageRef,0)))</f>
        <v>Match 52 Winner</v>
      </c>
      <c r="L65" s="246"/>
      <c r="M65" s="247"/>
      <c r="N65" s="156" t="s">
        <v>127</v>
      </c>
      <c r="O65" s="16"/>
      <c r="P65" s="258"/>
      <c r="Q65" s="258"/>
      <c r="R65" s="258"/>
      <c r="S65" s="258"/>
      <c r="T65" s="258"/>
      <c r="U65" s="258"/>
      <c r="V65" s="258"/>
      <c r="W65" s="258"/>
      <c r="X65" s="19"/>
      <c r="Y65" s="118"/>
    </row>
    <row r="66" spans="2:25" ht="14.5" customHeight="1" x14ac:dyDescent="0.35">
      <c r="B66" s="81">
        <v>61</v>
      </c>
      <c r="C66" s="256" t="s">
        <v>148</v>
      </c>
      <c r="D66" s="59">
        <f t="shared" si="0"/>
        <v>44908.916666666664</v>
      </c>
      <c r="E66" s="60">
        <f>Calculator!BX67</f>
        <v>44908.916666666664</v>
      </c>
      <c r="F66" s="61" t="str">
        <f>IF(AND(H63&lt;&gt;"",I63&lt;&gt;""),IF((H63+L63)&gt;(I63+M63),F63,IF((H63+L63)&lt;(I63+M63),K63,INDEX(Translation,MATCH("Match 57 Winner",TransRef,0),MATCH(Setup!C5,LanguageRef,0)))),INDEX(Translation,MATCH("Match 57 Winner",TransRef,0),MATCH(Setup!C5,LanguageRef,0)))</f>
        <v>Match 57 Winner</v>
      </c>
      <c r="G66" s="85"/>
      <c r="H66" s="229"/>
      <c r="I66" s="230"/>
      <c r="J66" s="85"/>
      <c r="K66" s="62" t="str">
        <f>IF(AND(H62&lt;&gt;"",I62&lt;&gt;""),IF((H62+L62)&gt;(I62+M62),F62,IF((H62+L62)&lt;(I62+M62),K62,INDEX(Translation,MATCH("Match 58 Winner",TransRef,0),MATCH(Setup!C5,LanguageRef,0)))),INDEX(Translation,MATCH("Match 58 Winner",TransRef,0),MATCH(Setup!C5,LanguageRef,0)))</f>
        <v>Match 58 Winner</v>
      </c>
      <c r="L66" s="244"/>
      <c r="M66" s="245"/>
      <c r="N66" s="86" t="s">
        <v>130</v>
      </c>
      <c r="O66" s="16"/>
      <c r="P66" s="257" t="str">
        <f>INDEX(Translation,MATCH("Third Place",TransRef,0),MATCH(Setup!$C$5,LanguageRef,0))</f>
        <v>Third Place</v>
      </c>
      <c r="Q66" s="257"/>
      <c r="R66" s="257"/>
      <c r="S66" s="257"/>
      <c r="T66" s="257"/>
      <c r="U66" s="257"/>
      <c r="V66" s="257"/>
      <c r="W66" s="257"/>
      <c r="X66" s="19"/>
      <c r="Y66" s="118"/>
    </row>
    <row r="67" spans="2:25" ht="14.5" customHeight="1" x14ac:dyDescent="0.35">
      <c r="B67" s="87">
        <v>62</v>
      </c>
      <c r="C67" s="256"/>
      <c r="D67" s="151">
        <f t="shared" si="0"/>
        <v>44909.916666666664</v>
      </c>
      <c r="E67" s="152">
        <f>Calculator!BX68</f>
        <v>44909.916666666664</v>
      </c>
      <c r="F67" s="153" t="str">
        <f>IF(AND(H65&lt;&gt;"",I65&lt;&gt;""),IF((H65+L65)&gt;(I65+M65),F65,IF((H65+L65)&lt;(I65+M65),K65,INDEX(Translation,MATCH("Match 59 Winner",TransRef,0),MATCH(Setup!C5,LanguageRef,0)))),INDEX(Translation,MATCH("Match 59 Winner",TransRef,0),MATCH(Setup!C5,LanguageRef,0)))</f>
        <v>Match 59 Winner</v>
      </c>
      <c r="G67" s="154"/>
      <c r="H67" s="236"/>
      <c r="I67" s="237"/>
      <c r="J67" s="154"/>
      <c r="K67" s="155" t="str">
        <f>IF(AND(H64&lt;&gt;"",I64&lt;&gt;""),IF((H64+L64)&gt;(I64+M64),F64,IF((H64+L64)&lt;(I64+M64),K64,INDEX(Translation,MATCH("Match 60 Winner",TransRef,0),MATCH(Setup!C5,LanguageRef,0)))),INDEX(Translation,MATCH("Match 60 Winner",TransRef,0),MATCH(Setup!C5,LanguageRef,0)))</f>
        <v>Match 60 Winner</v>
      </c>
      <c r="L67" s="246"/>
      <c r="M67" s="247"/>
      <c r="N67" s="156" t="s">
        <v>127</v>
      </c>
      <c r="O67" s="16"/>
      <c r="P67" s="257"/>
      <c r="Q67" s="257"/>
      <c r="R67" s="257"/>
      <c r="S67" s="257"/>
      <c r="T67" s="257"/>
      <c r="U67" s="257"/>
      <c r="V67" s="257"/>
      <c r="W67" s="257"/>
      <c r="X67" s="19"/>
      <c r="Y67" s="118"/>
    </row>
    <row r="68" spans="2:25" ht="14.5" customHeight="1" x14ac:dyDescent="0.35">
      <c r="B68" s="89">
        <v>63</v>
      </c>
      <c r="C68" s="90" t="s">
        <v>149</v>
      </c>
      <c r="D68" s="93">
        <f t="shared" si="0"/>
        <v>44912.75</v>
      </c>
      <c r="E68" s="94">
        <f>Calculator!BX69</f>
        <v>44912.75</v>
      </c>
      <c r="F68" s="95" t="str">
        <f>IF(AND(H66&lt;&gt;"",I66&lt;&gt;""),IF((H66+L66)&lt;(I66+M66),F66,IF((H66+L66)&gt;(I66+M66),K66,INDEX(Translation,MATCH("Match 61 Loser",TransRef,0),MATCH(Setup!C5,LanguageRef,0)))),INDEX(Translation,MATCH("Match 61 Loser",TransRef,0),MATCH(Setup!C5,LanguageRef,0)))</f>
        <v>Match 61 Loser</v>
      </c>
      <c r="G68" s="96"/>
      <c r="H68" s="91"/>
      <c r="I68" s="92"/>
      <c r="J68" s="96"/>
      <c r="K68" s="97" t="str">
        <f>IF(AND(H67&lt;&gt;"",I67&lt;&gt;""),IF((H67+L67)&lt;(I67+M67),F67,IF((H67+L67)&gt;(I67+M67),K67,INDEX(Translation,MATCH("Match 62 Loser",TransRef,0),MATCH(Setup!C5,LanguageRef,0)))),INDEX(Translation,MATCH("Match 62 Loser",TransRef,0),MATCH(Setup!C5,LanguageRef,0)))</f>
        <v>Match 62 Loser</v>
      </c>
      <c r="L68" s="248"/>
      <c r="M68" s="249"/>
      <c r="N68" s="98" t="s">
        <v>126</v>
      </c>
      <c r="O68" s="16"/>
      <c r="P68" s="258" t="str">
        <f>UPPER(IF(AND(H68&lt;&gt;"",I68&lt;&gt;""),IF((H68+L68)&gt;(I68+M68),F68,IF((H68+L68)&lt;(I68+M68),K68,INDEX(Translation,MATCH("World Cup 2022 3rd Place",TransRef,0),MATCH(Setup!C5,LanguageRef,0)))),INDEX(Translation,MATCH("World Cup 2022 3rd Place",TransRef,0),MATCH(Setup!C5,LanguageRef,0))))</f>
        <v>WORLD CUP 2022 3RD PLACE</v>
      </c>
      <c r="Q68" s="258"/>
      <c r="R68" s="258"/>
      <c r="S68" s="258"/>
      <c r="T68" s="258"/>
      <c r="U68" s="258"/>
      <c r="V68" s="258"/>
      <c r="W68" s="258"/>
      <c r="X68" s="19"/>
      <c r="Y68" s="118"/>
    </row>
    <row r="69" spans="2:25" ht="14.5" customHeight="1" x14ac:dyDescent="0.35">
      <c r="B69" s="89">
        <v>64</v>
      </c>
      <c r="C69" s="90" t="s">
        <v>134</v>
      </c>
      <c r="D69" s="157">
        <f t="shared" ref="D69" si="1">E69</f>
        <v>44913.75</v>
      </c>
      <c r="E69" s="158">
        <f>Calculator!BX70</f>
        <v>44913.75</v>
      </c>
      <c r="F69" s="159" t="str">
        <f>IF(AND(H66&lt;&gt;"",I66&lt;&gt;""),IF((H66+L66)&gt;(I66+M66),F66,IF((H66+L66)&lt;(I66+M66),K66,INDEX(Translation,MATCH("Match 61 Winner",TransRef,0),MATCH(Setup!C5,LanguageRef,0)))),INDEX(Translation,MATCH("Match 61 Winner",TransRef,0),MATCH(Setup!C5,LanguageRef,0)))</f>
        <v>Match 61 Winner</v>
      </c>
      <c r="G69" s="160"/>
      <c r="H69" s="91"/>
      <c r="I69" s="92"/>
      <c r="J69" s="160"/>
      <c r="K69" s="155" t="str">
        <f>IF(AND(H67&lt;&gt;"",I67&lt;&gt;""),IF((H67+L67)&gt;(I67+M67),F67,IF((H67+L67)&lt;(I67+M67),K67,INDEX(Translation,MATCH("Match 62 Winner",TransRef,0),MATCH(Setup!C5,LanguageRef,0)))),INDEX(Translation,MATCH("Match 62 Winner",TransRef,0),MATCH(Setup!C5,LanguageRef,0)))</f>
        <v>Match 62 Winner</v>
      </c>
      <c r="L69" s="250"/>
      <c r="M69" s="251"/>
      <c r="N69" s="161" t="s">
        <v>130</v>
      </c>
      <c r="O69" s="16"/>
      <c r="P69" s="258"/>
      <c r="Q69" s="258"/>
      <c r="R69" s="258"/>
      <c r="S69" s="258"/>
      <c r="T69" s="258"/>
      <c r="U69" s="258"/>
      <c r="V69" s="258"/>
      <c r="W69" s="258"/>
      <c r="X69" s="19"/>
      <c r="Y69" s="118"/>
    </row>
    <row r="70" spans="2:25" ht="14.4" customHeight="1" x14ac:dyDescent="0.35">
      <c r="B70" s="18" t="s">
        <v>150</v>
      </c>
      <c r="C70" s="16"/>
      <c r="D70" s="13"/>
      <c r="E70" s="16"/>
      <c r="F70" s="15"/>
      <c r="G70" s="15"/>
      <c r="H70" s="16"/>
      <c r="I70" s="16"/>
      <c r="J70" s="15"/>
      <c r="K70" s="17"/>
      <c r="L70" s="17"/>
      <c r="M70" s="17"/>
      <c r="N70" s="16"/>
      <c r="O70" s="16"/>
      <c r="X70" s="19"/>
      <c r="Y70" s="118"/>
    </row>
    <row r="71" spans="2:25" ht="14.4" customHeight="1" x14ac:dyDescent="0.35">
      <c r="O71" s="16"/>
      <c r="X71" s="19"/>
      <c r="Y71" s="118"/>
    </row>
    <row r="72" spans="2:25" x14ac:dyDescent="0.35">
      <c r="O72" s="16"/>
      <c r="X72" s="19"/>
      <c r="Y72" s="118"/>
    </row>
    <row r="73" spans="2:25" x14ac:dyDescent="0.35">
      <c r="H73" s="16"/>
      <c r="I73" s="16"/>
      <c r="J73" s="15"/>
      <c r="K73" s="17"/>
      <c r="L73" s="17"/>
      <c r="M73" s="17"/>
      <c r="N73" s="16"/>
      <c r="O73" s="99"/>
      <c r="X73" s="19"/>
      <c r="Y73" s="118"/>
    </row>
    <row r="74" spans="2:25" x14ac:dyDescent="0.35">
      <c r="H74" s="16"/>
      <c r="I74" s="16"/>
      <c r="J74" s="15"/>
      <c r="K74" s="17"/>
      <c r="L74" s="17"/>
      <c r="M74" s="17"/>
      <c r="N74" s="16"/>
      <c r="O74" s="11"/>
      <c r="X74" s="19"/>
      <c r="Y74" s="118"/>
    </row>
    <row r="75" spans="2:25" x14ac:dyDescent="0.35">
      <c r="H75" s="16"/>
      <c r="I75" s="16"/>
      <c r="J75" s="15"/>
      <c r="K75" s="17"/>
      <c r="L75" s="17"/>
      <c r="M75" s="17"/>
      <c r="N75" s="16"/>
      <c r="O75" s="11"/>
      <c r="X75" s="19"/>
      <c r="Y75" s="118"/>
    </row>
    <row r="76" spans="2:25" x14ac:dyDescent="0.35">
      <c r="H76" s="16"/>
      <c r="I76" s="16"/>
      <c r="J76" s="15"/>
      <c r="K76" s="17"/>
      <c r="L76" s="17"/>
      <c r="M76" s="17"/>
      <c r="N76" s="16"/>
      <c r="O76" s="11"/>
      <c r="X76" s="19"/>
      <c r="Y76" s="118"/>
    </row>
    <row r="77" spans="2:25" x14ac:dyDescent="0.35"/>
    <row r="78" spans="2:25" x14ac:dyDescent="0.35"/>
    <row r="79" spans="2:25" x14ac:dyDescent="0.35"/>
    <row r="80" spans="2:25" ht="15.65" customHeight="1" x14ac:dyDescent="0.35"/>
    <row r="81" x14ac:dyDescent="0.35"/>
    <row r="82" ht="28.75" customHeight="1" x14ac:dyDescent="0.35"/>
    <row r="83" ht="28.75" customHeight="1" x14ac:dyDescent="0.35"/>
    <row r="84" x14ac:dyDescent="0.35"/>
    <row r="85" ht="21" customHeight="1"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sheetData>
  <sheetProtection password="CBF1" sheet="1" objects="1" scenarios="1"/>
  <mergeCells count="21">
    <mergeCell ref="AA2:AJ2"/>
    <mergeCell ref="N2:W2"/>
    <mergeCell ref="C62:C65"/>
    <mergeCell ref="P62:W63"/>
    <mergeCell ref="P64:W65"/>
    <mergeCell ref="H3:I3"/>
    <mergeCell ref="P4:Q4"/>
    <mergeCell ref="P10:Q10"/>
    <mergeCell ref="P16:Q16"/>
    <mergeCell ref="P22:Q22"/>
    <mergeCell ref="P28:Q28"/>
    <mergeCell ref="C66:C67"/>
    <mergeCell ref="P66:W67"/>
    <mergeCell ref="P68:W69"/>
    <mergeCell ref="P34:Q34"/>
    <mergeCell ref="P40:Q40"/>
    <mergeCell ref="P46:Q46"/>
    <mergeCell ref="L53:M53"/>
    <mergeCell ref="P53:W56"/>
    <mergeCell ref="C54:C61"/>
    <mergeCell ref="P57:W61"/>
  </mergeCells>
  <conditionalFormatting sqref="L54:M67">
    <cfRule type="expression" dxfId="42" priority="45">
      <formula>AND($H54&lt;&gt;"",$I54&lt;&gt;"",$H54=$I54)</formula>
    </cfRule>
  </conditionalFormatting>
  <conditionalFormatting sqref="F54:F67">
    <cfRule type="expression" dxfId="41" priority="34">
      <formula>$L54&gt;$M54</formula>
    </cfRule>
    <cfRule type="expression" dxfId="40" priority="35">
      <formula>$L54&lt;$M54</formula>
    </cfRule>
    <cfRule type="expression" dxfId="39" priority="40">
      <formula>$H54&lt;$I54</formula>
    </cfRule>
    <cfRule type="expression" dxfId="38" priority="41">
      <formula>$H54&gt;$I54</formula>
    </cfRule>
  </conditionalFormatting>
  <conditionalFormatting sqref="K54:K67">
    <cfRule type="expression" dxfId="37" priority="36">
      <formula>$L54&lt;$M54</formula>
    </cfRule>
    <cfRule type="expression" dxfId="36" priority="37">
      <formula>$L54&gt;$M54</formula>
    </cfRule>
    <cfRule type="expression" dxfId="35" priority="38">
      <formula>$H54&gt;$I54</formula>
    </cfRule>
    <cfRule type="expression" dxfId="34" priority="39">
      <formula>$H54&lt;$I54</formula>
    </cfRule>
  </conditionalFormatting>
  <conditionalFormatting sqref="H5:I52">
    <cfRule type="expression" dxfId="33" priority="33">
      <formula>ISTEXT(H5)</formula>
    </cfRule>
  </conditionalFormatting>
  <conditionalFormatting sqref="F5:G20">
    <cfRule type="expression" dxfId="32" priority="31">
      <formula>$H5&lt;$I5</formula>
    </cfRule>
    <cfRule type="expression" dxfId="31" priority="32">
      <formula>$H5&gt;$I5</formula>
    </cfRule>
  </conditionalFormatting>
  <conditionalFormatting sqref="K5:K20">
    <cfRule type="expression" dxfId="30" priority="29">
      <formula>$H5&gt;$I5</formula>
    </cfRule>
    <cfRule type="expression" dxfId="29" priority="30">
      <formula>$H5&lt;$I5</formula>
    </cfRule>
  </conditionalFormatting>
  <conditionalFormatting sqref="J5:J20">
    <cfRule type="expression" dxfId="28" priority="27">
      <formula>$H5&lt;$I5</formula>
    </cfRule>
    <cfRule type="expression" dxfId="27" priority="28">
      <formula>$H5&gt;$I5</formula>
    </cfRule>
  </conditionalFormatting>
  <conditionalFormatting sqref="F21:G36">
    <cfRule type="expression" dxfId="26" priority="25">
      <formula>$H21&lt;$I21</formula>
    </cfRule>
    <cfRule type="expression" dxfId="25" priority="26">
      <formula>$H21&gt;$I21</formula>
    </cfRule>
  </conditionalFormatting>
  <conditionalFormatting sqref="K21:K36">
    <cfRule type="expression" dxfId="24" priority="23">
      <formula>$H21&gt;$I21</formula>
    </cfRule>
    <cfRule type="expression" dxfId="23" priority="24">
      <formula>$H21&lt;$I21</formula>
    </cfRule>
  </conditionalFormatting>
  <conditionalFormatting sqref="J21:J36">
    <cfRule type="expression" dxfId="22" priority="21">
      <formula>$H21&lt;$I21</formula>
    </cfRule>
    <cfRule type="expression" dxfId="21" priority="22">
      <formula>$H21&gt;$I21</formula>
    </cfRule>
  </conditionalFormatting>
  <conditionalFormatting sqref="F37:G52">
    <cfRule type="expression" dxfId="20" priority="19">
      <formula>$H37&lt;$I37</formula>
    </cfRule>
    <cfRule type="expression" dxfId="19" priority="20">
      <formula>$H37&gt;$I37</formula>
    </cfRule>
  </conditionalFormatting>
  <conditionalFormatting sqref="K37:K52">
    <cfRule type="expression" dxfId="18" priority="17">
      <formula>$H37&gt;$I37</formula>
    </cfRule>
    <cfRule type="expression" dxfId="17" priority="18">
      <formula>$H37&lt;$I37</formula>
    </cfRule>
  </conditionalFormatting>
  <conditionalFormatting sqref="J37:J52">
    <cfRule type="expression" dxfId="16" priority="15">
      <formula>$H37&lt;$I37</formula>
    </cfRule>
    <cfRule type="expression" dxfId="15" priority="16">
      <formula>$H37&gt;$I37</formula>
    </cfRule>
  </conditionalFormatting>
  <conditionalFormatting sqref="L68:M69">
    <cfRule type="expression" dxfId="14" priority="14">
      <formula>AND($H68&lt;&gt;"",$I68&lt;&gt;"",$H68=$I68)</formula>
    </cfRule>
  </conditionalFormatting>
  <conditionalFormatting sqref="F68:F69">
    <cfRule type="expression" dxfId="13" priority="5">
      <formula>$L68&gt;$M68</formula>
    </cfRule>
    <cfRule type="expression" dxfId="12" priority="6">
      <formula>$L68&lt;$M68</formula>
    </cfRule>
    <cfRule type="expression" dxfId="11" priority="11">
      <formula>$H68&lt;$I68</formula>
    </cfRule>
    <cfRule type="expression" dxfId="10" priority="12">
      <formula>$H68&gt;$I68</formula>
    </cfRule>
  </conditionalFormatting>
  <conditionalFormatting sqref="K68:K69">
    <cfRule type="expression" dxfId="9" priority="7">
      <formula>$L68&lt;$M68</formula>
    </cfRule>
    <cfRule type="expression" dxfId="8" priority="8">
      <formula>$L68&gt;$M68</formula>
    </cfRule>
    <cfRule type="expression" dxfId="7" priority="9">
      <formula>$H68&gt;$I68</formula>
    </cfRule>
    <cfRule type="expression" dxfId="6" priority="10">
      <formula>$H68&lt;$I68</formula>
    </cfRule>
  </conditionalFormatting>
  <conditionalFormatting sqref="H54:I59">
    <cfRule type="expression" dxfId="5" priority="4">
      <formula>ISTEXT(H54)</formula>
    </cfRule>
  </conditionalFormatting>
  <conditionalFormatting sqref="H60:I69">
    <cfRule type="expression" dxfId="4" priority="3">
      <formula>ISTEXT(H60)</formula>
    </cfRule>
  </conditionalFormatting>
  <conditionalFormatting sqref="AA2:AJ2">
    <cfRule type="expression" dxfId="3" priority="2">
      <formula>$B$70="© 2022 | journalSHEET.com"</formula>
    </cfRule>
  </conditionalFormatting>
  <conditionalFormatting sqref="P3:W69">
    <cfRule type="expression" dxfId="2" priority="1">
      <formula>$B$70&lt;&gt;"© 2022 | journalSHEET.com"</formula>
    </cfRule>
  </conditionalFormatting>
  <hyperlinks>
    <hyperlink ref="AE6" r:id="rId1"/>
    <hyperlink ref="N2:W2" r:id="rId2" display="https://journalsheet.com/product/js814ssxl-fifa-world-cup-2022-predictor-game"/>
  </hyperlinks>
  <printOptions horizontalCentered="1" verticalCentered="1"/>
  <pageMargins left="0.3" right="0.3" top="0.3" bottom="0.3" header="0.21" footer="0.26"/>
  <pageSetup scale="69" orientation="portrait" horizontalDpi="300" verticalDpi="300"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Z152"/>
  <sheetViews>
    <sheetView showGridLines="0" topLeftCell="BP1" zoomScaleNormal="100" workbookViewId="0">
      <selection activeCell="BQ12" sqref="BQ12"/>
    </sheetView>
  </sheetViews>
  <sheetFormatPr defaultColWidth="9.08984375" defaultRowHeight="14.5" x14ac:dyDescent="0.35"/>
  <cols>
    <col min="1" max="1" width="5.81640625" style="189" bestFit="1" customWidth="1"/>
    <col min="2" max="2" width="2.26953125" style="189" bestFit="1" customWidth="1"/>
    <col min="3" max="3" width="12.7265625" style="189" bestFit="1" customWidth="1"/>
    <col min="4" max="7" width="6" style="189" bestFit="1" customWidth="1"/>
    <col min="8" max="9" width="2.26953125" style="189" bestFit="1" customWidth="1"/>
    <col min="10" max="10" width="3.453125" style="189" customWidth="1"/>
    <col min="11" max="11" width="2.26953125" style="189" bestFit="1" customWidth="1"/>
    <col min="12" max="13" width="5.81640625" style="189" bestFit="1" customWidth="1"/>
    <col min="14" max="20" width="2.26953125" style="189" bestFit="1" customWidth="1"/>
    <col min="21" max="21" width="12.7265625" style="189" bestFit="1" customWidth="1"/>
    <col min="22" max="22" width="2.26953125" style="189" bestFit="1" customWidth="1"/>
    <col min="23" max="23" width="12.7265625" style="189" bestFit="1" customWidth="1"/>
    <col min="24" max="24" width="6.54296875" style="189" customWidth="1"/>
    <col min="25" max="25" width="9.08984375" style="189"/>
    <col min="26" max="31" width="2.26953125" style="189" bestFit="1" customWidth="1"/>
    <col min="32" max="32" width="2.90625" style="189" customWidth="1"/>
    <col min="33" max="48" width="2.26953125" style="189" bestFit="1" customWidth="1"/>
    <col min="49" max="49" width="1.81640625" style="189" bestFit="1" customWidth="1"/>
    <col min="50" max="63" width="2.26953125" style="189" bestFit="1" customWidth="1"/>
    <col min="64" max="64" width="9.08984375" style="189"/>
    <col min="65" max="65" width="9.90625" style="189" customWidth="1"/>
    <col min="66" max="66" width="3.26953125" style="43" customWidth="1"/>
    <col min="67" max="67" width="23" style="189" customWidth="1"/>
    <col min="68" max="68" width="30.90625" style="189" customWidth="1"/>
    <col min="69" max="69" width="40.81640625" style="189" customWidth="1"/>
    <col min="70" max="70" width="4.7265625" style="189" bestFit="1" customWidth="1"/>
    <col min="71" max="71" width="9.26953125" style="189" bestFit="1" customWidth="1"/>
    <col min="72" max="72" width="13.54296875" style="188" customWidth="1"/>
    <col min="73" max="74" width="9.453125" style="188" bestFit="1" customWidth="1"/>
    <col min="75" max="76" width="13.54296875" style="188" bestFit="1" customWidth="1"/>
    <col min="77" max="77" width="9.453125" style="189" bestFit="1" customWidth="1"/>
    <col min="78" max="16384" width="9.08984375" style="189"/>
  </cols>
  <sheetData>
    <row r="4" spans="1:78" x14ac:dyDescent="0.35">
      <c r="A4" s="189">
        <f>INDEX(M4:M35,MATCH(U4,C4:C35,0),0)</f>
        <v>1584</v>
      </c>
      <c r="B4" s="189">
        <v>1</v>
      </c>
      <c r="C4" s="189" t="str">
        <f>BZ7</f>
        <v>Senegal</v>
      </c>
      <c r="D4" s="189">
        <f>SUM(E4:G4)</f>
        <v>0</v>
      </c>
      <c r="E4" s="189">
        <f>SUMPRODUCT((Matches!H5:H52&lt;&gt;"")*(Matches!F5:F52=C4)*(Matches!H5:H52&gt;Matches!I5:I52)*1)+SUMPRODUCT((Matches!H5:H52&lt;&gt;"")*(Matches!K5:K52=C4)*(Matches!I5:I52&gt;Matches!H5:H52)*1)</f>
        <v>0</v>
      </c>
      <c r="F4" s="189">
        <f>SUMPRODUCT((Matches!H5:H52&lt;&gt;"")*(Matches!F5:F52=C4)*(Matches!H5:H52=Matches!I5:I52)*1)+SUMPRODUCT((Matches!H5:H52&lt;&gt;"")*(Matches!K5:K52=C4)*(Matches!H5:H52=Matches!I5:I52)*1)</f>
        <v>0</v>
      </c>
      <c r="G4" s="189">
        <f>SUMPRODUCT((Matches!H5:H52&lt;&gt;"")*(Matches!F5:F52=C4)*(Matches!H5:H52&lt;Matches!I5:I52)*1)+SUMPRODUCT((Matches!H5:H52&lt;&gt;"")*(Matches!K5:K52=C4)*(Matches!I5:I52&lt;Matches!H5:H52)*1)</f>
        <v>0</v>
      </c>
      <c r="H4" s="189">
        <f>SUMIF(Matches!F5:F52,C4,Matches!H5:H52)+SUMIF(Matches!K5:K52,C4,Matches!I5:I52)</f>
        <v>0</v>
      </c>
      <c r="I4" s="189">
        <f>SUMIF(Matches!F5:F52,C4,Matches!I5:I52)+SUMIF(Matches!K5:K52,C4,Matches!H5:H52)</f>
        <v>0</v>
      </c>
      <c r="J4" s="189">
        <f>H4-I4</f>
        <v>0</v>
      </c>
      <c r="K4" s="189">
        <f>F4*1+E4*3</f>
        <v>0</v>
      </c>
      <c r="L4" s="189">
        <f>Setup!E8</f>
        <v>1584</v>
      </c>
      <c r="M4" s="189">
        <f>IF(Setup!F8&lt;&gt;"",Setup!F8,Setup!E8)</f>
        <v>1584</v>
      </c>
      <c r="N4" s="189">
        <f>RANK(K4,K4:K7)</f>
        <v>1</v>
      </c>
      <c r="O4" s="189">
        <f>SUMPRODUCT((N4:N7=N4)*(J4:J7&gt;J4)*1)</f>
        <v>0</v>
      </c>
      <c r="P4" s="189">
        <f>N4+O4</f>
        <v>1</v>
      </c>
      <c r="Q4" s="189">
        <f>SUMPRODUCT((N4:N7=N4)*(J4:J7=J4)*(H4:H7&gt;H4)*1)</f>
        <v>0</v>
      </c>
      <c r="R4" s="189">
        <f>P4+Q4</f>
        <v>1</v>
      </c>
      <c r="S4" s="189">
        <f>RANK(R4,R4:R7,1)+COUNTIF(R4:R4,R4)-1</f>
        <v>1</v>
      </c>
      <c r="T4" s="189">
        <v>1</v>
      </c>
      <c r="U4" s="189" t="str">
        <f>INDEX(C4:C7,MATCH(T4,S4:S7,0),0)</f>
        <v>Senegal</v>
      </c>
      <c r="V4" s="189">
        <f>INDEX(R4:R7,MATCH(U4,C4:C7,0),0)</f>
        <v>1</v>
      </c>
      <c r="W4" s="189" t="str">
        <f>IF(V5=1,U4,"")</f>
        <v>Senegal</v>
      </c>
      <c r="Z4" s="189">
        <f>SUMPRODUCT((Matches!F5:F52=W4)*(Matches!K5:K52=W5)*(Matches!H5:H52&gt;Matches!I5:I52)*1)+SUMPRODUCT((Matches!K5:K52=W4)*(Matches!F5:F52=W5)*(Matches!I5:I52&gt;Matches!H5:H52)*1)+SUMPRODUCT((Matches!F5:F52=W4)*(Matches!K5:K52=W6)*(Matches!H5:H52&gt;Matches!I5:I52)*1)+SUMPRODUCT((Matches!K5:K52=W4)*(Matches!F5:F52=W6)*(Matches!I5:I52&gt;Matches!H5:H52)*1)+SUMPRODUCT((Matches!F5:F52=W4)*(Matches!K5:K52=W7)*(Matches!H5:H52&gt;Matches!I5:I52)*1)+SUMPRODUCT((Matches!K5:K52=W4)*(Matches!F5:F52=W7)*(Matches!I5:I52&gt;Matches!H5:H52)*1)</f>
        <v>0</v>
      </c>
      <c r="AA4" s="189">
        <f>SUMPRODUCT((Matches!F5:F52=W4)*(Matches!K5:K52=W5)*(Matches!H5:H52=Matches!I5:I52)*1)+SUMPRODUCT((Matches!K5:K52=W4)*(Matches!F5:F52=W5)*(Matches!H5:H52=Matches!I5:I52)*1)+SUMPRODUCT((Matches!F5:F52=W4)*(Matches!K5:K52=W6)*(Matches!H5:H52=Matches!I5:I52)*1)+SUMPRODUCT((Matches!K5:K52=W4)*(Matches!F5:F52=W6)*(Matches!H5:H52=Matches!I5:I52)*1)+SUMPRODUCT((Matches!F5:F52=W4)*(Matches!K5:K52=W7)*(Matches!H5:H52=Matches!I5:I52)*1)+SUMPRODUCT((Matches!K5:K52=W4)*(Matches!F5:F52=W7)*(Matches!H5:H52=Matches!I5:I52)*1)</f>
        <v>3</v>
      </c>
      <c r="AB4" s="189">
        <f>SUMPRODUCT((Matches!F5:F52=W4)*(Matches!K5:K52=W5)*(Matches!H5:H52&lt;Matches!I5:I52)*1)+SUMPRODUCT((Matches!K5:K52=W4)*(Matches!F5:F52=W5)*(Matches!I5:I52&lt;Matches!H5:H52)*1)+SUMPRODUCT((Matches!F5:F52=W4)*(Matches!K5:K52=W6)*(Matches!H5:H52&lt;Matches!I5:I52)*1)+SUMPRODUCT((Matches!K5:K52=W4)*(Matches!F5:F52=W6)*(Matches!I5:I52&lt;Matches!H5:H52)*1)+SUMPRODUCT((Matches!F5:F52=W4)*(Matches!K5:K52=W7)*(Matches!H5:H52&lt;Matches!I5:I52)*1)+SUMPRODUCT((Matches!K5:K52=W4)*(Matches!F5:F52=W7)*(Matches!I5:I52&lt;Matches!H5:H52)*1)</f>
        <v>0</v>
      </c>
      <c r="AC4" s="189">
        <f>SUMIFS(Matches!H5:H52,Matches!F5:F52,W4,Matches!K5:K52,W5)+SUMIFS(Matches!H5:H52,Matches!F5:F52,W4,Matches!K5:K52,W6)+SUMIFS(Matches!H5:H52,Matches!F5:F52,W4,Matches!K5:K52,W7)+SUMIFS(Matches!I5:I52,Matches!K5:K52,W4,Matches!F5:F52,W5)+SUMIFS(Matches!I5:I52,Matches!K5:K52,W4,Matches!F5:F52,W6)+SUMIFS(Matches!I5:I52,Matches!K5:K52,W4,Matches!F5:F52,W7)</f>
        <v>0</v>
      </c>
      <c r="AD4" s="189">
        <f>SUMIFS(Matches!I5:I52,Matches!F5:F52,W4,Matches!K5:K52,W5)+SUMIFS(Matches!I5:I52,Matches!F5:F52,W4,Matches!K5:K52,W6)+SUMIFS(Matches!I5:I52,Matches!F5:F52,W4,Matches!K5:K52,W7)+SUMIFS(Matches!H5:H52,Matches!K5:K52,W4,Matches!F5:F52,W5)+SUMIFS(Matches!H5:H52,Matches!K5:K52,W4,Matches!F5:F52,W6)+SUMIFS(Matches!H5:H52,Matches!K5:K52,W4,Matches!F5:F52,W7)</f>
        <v>0</v>
      </c>
      <c r="AE4" s="189">
        <f>AC4-AD4</f>
        <v>0</v>
      </c>
      <c r="AF4" s="189">
        <f>AA4*1+Z4*3</f>
        <v>3</v>
      </c>
      <c r="AG4" s="189">
        <f>IF(W4&lt;&gt;"",SUMPRODUCT((V4:V7=V4)*(AF4:AF7&gt;AF4)*1),0)</f>
        <v>0</v>
      </c>
      <c r="AH4" s="189">
        <f>IF(W4&lt;&gt;"",SUMPRODUCT((AG4:AG7=AG4)*(AE4:AE7&gt;AE4)*1),0)</f>
        <v>0</v>
      </c>
      <c r="AI4" s="189">
        <f t="shared" ref="AI4:AI35" si="0">AG4+AH4</f>
        <v>0</v>
      </c>
      <c r="AJ4" s="189">
        <f>IF(W4&lt;&gt;"",SUMPRODUCT((AI4:AI7=AI4)*(AG4:AG7=AG4)*(AC4:AC7&gt;AC4)*1),0)</f>
        <v>0</v>
      </c>
      <c r="AK4" s="189">
        <f>V4+AI4+AJ4</f>
        <v>1</v>
      </c>
      <c r="AL4" s="189">
        <v>0</v>
      </c>
      <c r="AM4" s="189">
        <v>0</v>
      </c>
      <c r="AN4" s="189">
        <v>0</v>
      </c>
      <c r="AO4" s="189">
        <v>0</v>
      </c>
      <c r="AP4" s="189">
        <v>0</v>
      </c>
      <c r="AQ4" s="189">
        <v>0</v>
      </c>
      <c r="AR4" s="189">
        <v>0</v>
      </c>
      <c r="AS4" s="189">
        <v>0</v>
      </c>
      <c r="AT4" s="189">
        <v>0</v>
      </c>
      <c r="AU4" s="189">
        <v>0</v>
      </c>
      <c r="AV4" s="189">
        <v>0</v>
      </c>
      <c r="AW4" s="189">
        <f>AK4+AU4+AV4</f>
        <v>1</v>
      </c>
      <c r="AX4" s="189">
        <v>0</v>
      </c>
      <c r="AY4" s="189">
        <v>0</v>
      </c>
      <c r="AZ4" s="189">
        <v>0</v>
      </c>
      <c r="BA4" s="189">
        <v>0</v>
      </c>
      <c r="BB4" s="189">
        <v>0</v>
      </c>
      <c r="BC4" s="189">
        <v>0</v>
      </c>
      <c r="BD4" s="189">
        <v>0</v>
      </c>
      <c r="BE4" s="189">
        <v>0</v>
      </c>
      <c r="BF4" s="189">
        <v>0</v>
      </c>
      <c r="BG4" s="189">
        <v>0</v>
      </c>
      <c r="BH4" s="189">
        <v>0</v>
      </c>
      <c r="BI4" s="189">
        <f>AW4+BG4+BH4</f>
        <v>1</v>
      </c>
      <c r="BJ4" s="189">
        <f>SUMPRODUCT((BI4:BI7=BI4)*(A4:A7&gt;A4)*1)</f>
        <v>1</v>
      </c>
      <c r="BK4" s="189">
        <f>BJ4+BI4</f>
        <v>2</v>
      </c>
    </row>
    <row r="5" spans="1:78" x14ac:dyDescent="0.35">
      <c r="A5" s="189">
        <f>INDEX(M4:M35,MATCH(U5,C4:C35,0),0)</f>
        <v>1658</v>
      </c>
      <c r="B5" s="189">
        <v>2</v>
      </c>
      <c r="C5" s="189" t="str">
        <f t="shared" ref="C5:C35" si="1">BZ8</f>
        <v>Netherlands</v>
      </c>
      <c r="D5" s="189">
        <f t="shared" ref="D5:D35" si="2">SUM(E5:G5)</f>
        <v>0</v>
      </c>
      <c r="E5" s="189">
        <f>SUMPRODUCT((Matches!H5:H52&lt;&gt;"")*(Matches!F5:F52=C5)*(Matches!H5:H52&gt;Matches!I5:I52)*1)+SUMPRODUCT((Matches!H5:H52&lt;&gt;"")*(Matches!K5:K52=C5)*(Matches!I5:I52&gt;Matches!H5:H52)*1)</f>
        <v>0</v>
      </c>
      <c r="F5" s="189">
        <f>SUMPRODUCT((Matches!H5:H52&lt;&gt;"")*(Matches!F5:F52=C5)*(Matches!H5:H52=Matches!I5:I52)*1)+SUMPRODUCT((Matches!H5:H52&lt;&gt;"")*(Matches!K5:K52=C5)*(Matches!H5:H52=Matches!I5:I52)*1)</f>
        <v>0</v>
      </c>
      <c r="G5" s="189">
        <f>SUMPRODUCT((Matches!H5:H52&lt;&gt;"")*(Matches!F5:F52=C5)*(Matches!H5:H52&lt;Matches!I5:I52)*1)+SUMPRODUCT((Matches!H5:H52&lt;&gt;"")*(Matches!K5:K52=C5)*(Matches!I5:I52&lt;Matches!H5:H52)*1)</f>
        <v>0</v>
      </c>
      <c r="H5" s="189">
        <f>SUMIF(Matches!F5:F52,C5,Matches!H5:H52)+SUMIF(Matches!K5:K52,C5,Matches!I5:I52)</f>
        <v>0</v>
      </c>
      <c r="I5" s="189">
        <f>SUMIF(Matches!F5:F52,C5,Matches!I5:I52)+SUMIF(Matches!K5:K52,C5,Matches!H5:H52)</f>
        <v>0</v>
      </c>
      <c r="J5" s="189">
        <f t="shared" ref="J5:J35" si="3">H5-I5</f>
        <v>0</v>
      </c>
      <c r="K5" s="189">
        <f t="shared" ref="K5:K35" si="4">F5*1+E5*3</f>
        <v>0</v>
      </c>
      <c r="L5" s="189">
        <f>Setup!E9</f>
        <v>1658</v>
      </c>
      <c r="M5" s="189">
        <f>IF(Setup!F9&lt;&gt;"",Setup!F9,Setup!E9)</f>
        <v>1658</v>
      </c>
      <c r="N5" s="189">
        <f>RANK(K5,K4:K7)</f>
        <v>1</v>
      </c>
      <c r="O5" s="189">
        <f>SUMPRODUCT((N4:N7=N5)*(J4:J7&gt;J5)*1)</f>
        <v>0</v>
      </c>
      <c r="P5" s="189">
        <f t="shared" ref="P5:P35" si="5">N5+O5</f>
        <v>1</v>
      </c>
      <c r="Q5" s="189">
        <f>SUMPRODUCT((N4:N7=N5)*(J4:J7=J5)*(H4:H7&gt;H5)*1)</f>
        <v>0</v>
      </c>
      <c r="R5" s="189">
        <f t="shared" ref="R5:R35" si="6">P5+Q5</f>
        <v>1</v>
      </c>
      <c r="S5" s="189">
        <f>RANK(R5,R4:R7,1)+COUNTIF(R4:R5,R5)-1</f>
        <v>2</v>
      </c>
      <c r="T5" s="189">
        <v>2</v>
      </c>
      <c r="U5" s="189" t="str">
        <f>INDEX(C4:C7,MATCH(T5,S4:S7,0),0)</f>
        <v>Netherlands</v>
      </c>
      <c r="V5" s="189">
        <f>INDEX(R4:R7,MATCH(U5,C4:C7,0),0)</f>
        <v>1</v>
      </c>
      <c r="W5" s="189" t="str">
        <f>IF(W4&lt;&gt;"",U5,"")</f>
        <v>Netherlands</v>
      </c>
      <c r="X5" s="189" t="str">
        <f>IF(V6=2,U5,"")</f>
        <v/>
      </c>
      <c r="Z5" s="189">
        <f>SUMPRODUCT((Matches!F5:F52=W5)*(Matches!K5:K52=W4)*(Matches!H5:H52&gt;Matches!I5:I52)*1)+SUMPRODUCT((Matches!K5:K52=W5)*(Matches!F5:F52=W4)*(Matches!I5:I52&gt;Matches!H5:H52)*1)+SUMPRODUCT((Matches!F5:F52=W5)*(Matches!K5:K52=W6)*(Matches!H5:H52&gt;Matches!I5:I52)*1)+SUMPRODUCT((Matches!K5:K52=W5)*(Matches!F5:F52=W6)*(Matches!I5:I52&gt;Matches!H5:H52)*1)+SUMPRODUCT((Matches!F5:F52=W5)*(Matches!K5:K52=W7)*(Matches!H5:H52&gt;Matches!I5:I52)*1)+SUMPRODUCT((Matches!K5:K52=W5)*(Matches!F5:F52=W7)*(Matches!I5:I52&gt;Matches!H5:H52)*1)</f>
        <v>0</v>
      </c>
      <c r="AA5" s="189">
        <f>SUMPRODUCT((Matches!F5:F52=W5)*(Matches!K5:K52=W4)*(Matches!H5:H52=Matches!I5:I52)*1)+SUMPRODUCT((Matches!K5:K52=W5)*(Matches!F5:F52=W4)*(Matches!H5:H52=Matches!I5:I52)*1)+SUMPRODUCT((Matches!F5:F52=W5)*(Matches!K5:K52=W6)*(Matches!H5:H52=Matches!I5:I52)*1)+SUMPRODUCT((Matches!K5:K52=W5)*(Matches!F5:F52=W6)*(Matches!H5:H52=Matches!I5:I52)*1)+SUMPRODUCT((Matches!F5:F52=W5)*(Matches!K5:K52=W7)*(Matches!H5:H52=Matches!I5:I52)*1)+SUMPRODUCT((Matches!K5:K52=W5)*(Matches!F5:F52=W7)*(Matches!H5:H52=Matches!I5:I52)*1)</f>
        <v>3</v>
      </c>
      <c r="AB5" s="189">
        <f>SUMPRODUCT((Matches!F5:F52=W5)*(Matches!K5:K52=W4)*(Matches!H5:H52&lt;Matches!I5:I52)*1)+SUMPRODUCT((Matches!K5:K52=W5)*(Matches!F5:F52=W4)*(Matches!I5:I52&lt;Matches!H5:H52)*1)+SUMPRODUCT((Matches!F5:F52=W5)*(Matches!K5:K52=W6)*(Matches!H5:H52&lt;Matches!I5:I52)*1)+SUMPRODUCT((Matches!K5:K52=W5)*(Matches!F5:F52=W6)*(Matches!I5:I52&lt;Matches!H5:H52)*1)+SUMPRODUCT((Matches!F5:F52=W5)*(Matches!K5:K52=W7)*(Matches!H5:H52&lt;Matches!I5:I52)*1)+SUMPRODUCT((Matches!K5:K52=W5)*(Matches!F5:F52=W7)*(Matches!I5:I52&lt;Matches!H5:H52)*1)</f>
        <v>0</v>
      </c>
      <c r="AC5" s="189">
        <f>SUMIFS(Matches!H5:H52,Matches!F5:F52,W5,Matches!K5:K52,W4)+SUMIFS(Matches!H5:H52,Matches!F5:F52,W5,Matches!K5:K52,W6)+SUMIFS(Matches!H5:H52,Matches!F5:F52,W5,Matches!K5:K52,W7)+SUMIFS(Matches!I5:I52,Matches!K5:K52,W5,Matches!F5:F52,W4)+SUMIFS(Matches!I5:I52,Matches!K5:K52,W5,Matches!F5:F52,W6)+SUMIFS(Matches!I5:I52,Matches!K5:K52,W5,Matches!F5:F52,W7)</f>
        <v>0</v>
      </c>
      <c r="AD5" s="189">
        <f>SUMIFS(Matches!I5:I52,Matches!F5:F52,W5,Matches!K5:K52,W4)+SUMIFS(Matches!I5:I52,Matches!F5:F52,W5,Matches!K5:K52,W6)+SUMIFS(Matches!I5:I52,Matches!F5:F52,W5,Matches!K5:K52,W7)+SUMIFS(Matches!H5:H52,Matches!K5:K52,W5,Matches!F5:F52,W4)+SUMIFS(Matches!H5:H52,Matches!K5:K52,W5,Matches!F5:F52,W6)+SUMIFS(Matches!H5:H52,Matches!K5:K52,W5,Matches!F5:F52,W7)</f>
        <v>0</v>
      </c>
      <c r="AE5" s="189">
        <f t="shared" ref="AE5:AE35" si="7">AC5-AD5</f>
        <v>0</v>
      </c>
      <c r="AF5" s="189">
        <f t="shared" ref="AF5:AF35" si="8">AA5*1+Z5*3</f>
        <v>3</v>
      </c>
      <c r="AG5" s="189">
        <f>IF(W5&lt;&gt;"",SUMPRODUCT((V4:V7=V5)*(AF4:AF7&gt;AF5)*1),0)</f>
        <v>0</v>
      </c>
      <c r="AH5" s="189">
        <f>IF(W5&lt;&gt;"",SUMPRODUCT((AG4:AG7=AG5)*(AE4:AE7&gt;AE5)*1),0)</f>
        <v>0</v>
      </c>
      <c r="AI5" s="189">
        <f t="shared" si="0"/>
        <v>0</v>
      </c>
      <c r="AJ5" s="189">
        <f>IF(W5&lt;&gt;"",SUMPRODUCT((AI4:AI7=AI5)*(AG4:AG7=AG5)*(AC4:AC7&gt;AC5)*1),0)</f>
        <v>0</v>
      </c>
      <c r="AK5" s="189">
        <f t="shared" ref="AK5:AK35" si="9">V5+AI5+AJ5</f>
        <v>1</v>
      </c>
      <c r="AL5" s="189">
        <f>SUMPRODUCT((Matches!F5:F52=X5)*(Matches!K5:K52=X6)*(Matches!H5:H52&gt;Matches!I5:I52)*1)+SUMPRODUCT((Matches!K5:K52=X5)*(Matches!F5:F52=X6)*(Matches!I5:I52&gt;Matches!H5:H52)*1)+SUMPRODUCT((Matches!F5:F52=X5)*(Matches!K5:K52=X7)*(Matches!H5:H52&gt;Matches!I5:I52)*1)+SUMPRODUCT((Matches!K5:K52=X5)*(Matches!F5:F52=X7)*(Matches!I5:I52&gt;Matches!H5:H52)*1)</f>
        <v>0</v>
      </c>
      <c r="AM5" s="189">
        <f>SUMPRODUCT((Matches!F5:F52=X5)*(Matches!K5:K52=X6)*(Matches!H5:H52=Matches!I5:I52)*1)+SUMPRODUCT((Matches!K5:K52=X5)*(Matches!F5:F52=X6)*(Matches!H5:H52=Matches!I5:I52)*1)+SUMPRODUCT((Matches!F5:F52=X5)*(Matches!K5:K52=X7)*(Matches!H5:H52=Matches!I5:I52)*1)+SUMPRODUCT((Matches!K5:K52=X5)*(Matches!F5:F52=X7)*(Matches!H5:H52=Matches!I5:I52)*1)</f>
        <v>0</v>
      </c>
      <c r="AN5" s="189">
        <f>SUMPRODUCT((Matches!F5:F52=X5)*(Matches!K5:K52=X6)*(Matches!H5:H52&lt;Matches!I5:I52)*1)+SUMPRODUCT((Matches!K5:K52=X5)*(Matches!F5:F52=X6)*(Matches!I5:I52&lt;Matches!H5:H52)*1)+SUMPRODUCT((Matches!F5:F52=X5)*(Matches!K5:K52=X7)*(Matches!H5:H52&lt;Matches!I5:I52)*1)+SUMPRODUCT((Matches!K5:K52=X5)*(Matches!F5:F52=X7)*(Matches!I5:I52&lt;Matches!H5:H52)*1)</f>
        <v>0</v>
      </c>
      <c r="AO5" s="189">
        <f>SUMIFS(Matches!H5:H52,Matches!F5:F52,X5,Matches!K5:K52,X6)+SUMIFS(Matches!H5:H52,Matches!F5:F52,X5,Matches!K5:K52,X7)+SUMIFS(Matches!I5:I52,Matches!K5:K52,X5,Matches!F5:F52,X6)+SUMIFS(Matches!I5:I52,Matches!K5:K52,X5,Matches!F5:F52,X7)</f>
        <v>0</v>
      </c>
      <c r="AP5" s="189">
        <f>SUMIFS(Matches!I5:I52,Matches!F5:F52,X5,Matches!K5:K52,X6)+SUMIFS(Matches!I5:I52,Matches!F5:F52,X5,Matches!K5:K52,X7)+SUMIFS(Matches!H5:H52,Matches!K5:K52,X5,Matches!F5:F52,X6)+SUMIFS(Matches!H5:H52,Matches!K5:K52,X5,Matches!F5:F52,X7)</f>
        <v>0</v>
      </c>
      <c r="AQ5" s="189">
        <f t="shared" ref="AQ5:AQ35" si="10">AO5-AP5</f>
        <v>0</v>
      </c>
      <c r="AR5" s="189">
        <f t="shared" ref="AR5:AR35" si="11">AM5*1+AL5*3</f>
        <v>0</v>
      </c>
      <c r="AS5" s="189">
        <f>IF(X5&lt;&gt;"",SUMPRODUCT((V4:V7=V5)*(AR4:AR7&gt;AR5)*1),0)</f>
        <v>0</v>
      </c>
      <c r="AT5" s="189">
        <f>IF(X5&lt;&gt;"",SUMPRODUCT((AS4:AS7=AS5)*(AQ4:AQ7&gt;AQ5)*1),0)</f>
        <v>0</v>
      </c>
      <c r="AU5" s="189">
        <f t="shared" ref="AU5:AU35" si="12">AS5+AT5</f>
        <v>0</v>
      </c>
      <c r="AV5" s="189">
        <f>IF(X5&lt;&gt;"",SUMPRODUCT((AU4:AU7=AU5)*(AS4:AS7=AS5)*(AO4:AO7&gt;AO5)*1),0)</f>
        <v>0</v>
      </c>
      <c r="AW5" s="189">
        <f t="shared" ref="AW5:AW35" si="13">AK5+AU5+AV5</f>
        <v>1</v>
      </c>
      <c r="AX5" s="189">
        <v>0</v>
      </c>
      <c r="AY5" s="189">
        <v>0</v>
      </c>
      <c r="AZ5" s="189">
        <v>0</v>
      </c>
      <c r="BA5" s="189">
        <v>0</v>
      </c>
      <c r="BB5" s="189">
        <v>0</v>
      </c>
      <c r="BC5" s="189">
        <v>0</v>
      </c>
      <c r="BD5" s="189">
        <v>0</v>
      </c>
      <c r="BE5" s="189">
        <v>0</v>
      </c>
      <c r="BF5" s="189">
        <v>0</v>
      </c>
      <c r="BG5" s="189">
        <v>0</v>
      </c>
      <c r="BH5" s="189">
        <v>0</v>
      </c>
      <c r="BI5" s="189">
        <f>AW5+BG5+BH5</f>
        <v>1</v>
      </c>
      <c r="BJ5" s="189">
        <f>SUMPRODUCT((BI4:BI7=BI5)*(A4:A7&gt;A5)*1)</f>
        <v>0</v>
      </c>
      <c r="BK5" s="189">
        <f t="shared" ref="BK5:BK35" si="14">BJ5+BI5</f>
        <v>1</v>
      </c>
    </row>
    <row r="6" spans="1:78" x14ac:dyDescent="0.35">
      <c r="A6" s="189">
        <f>INDEX(M4:M35,MATCH(U6,C4:C35,0),0)</f>
        <v>1441</v>
      </c>
      <c r="B6" s="189">
        <v>3</v>
      </c>
      <c r="C6" s="189" t="str">
        <f t="shared" si="1"/>
        <v>Qatar</v>
      </c>
      <c r="D6" s="189">
        <f t="shared" si="2"/>
        <v>0</v>
      </c>
      <c r="E6" s="189">
        <f>SUMPRODUCT((Matches!H5:H52&lt;&gt;"")*(Matches!F5:F52=C6)*(Matches!H5:H52&gt;Matches!I5:I52)*1)+SUMPRODUCT((Matches!H5:H52&lt;&gt;"")*(Matches!K5:K52=C6)*(Matches!I5:I52&gt;Matches!H5:H52)*1)</f>
        <v>0</v>
      </c>
      <c r="F6" s="189">
        <f>SUMPRODUCT((Matches!H5:H52&lt;&gt;"")*(Matches!F5:F52=C6)*(Matches!H5:H52=Matches!I5:I52)*1)+SUMPRODUCT((Matches!H5:H52&lt;&gt;"")*(Matches!K5:K52=C6)*(Matches!H5:H52=Matches!I5:I52)*1)</f>
        <v>0</v>
      </c>
      <c r="G6" s="189">
        <f>SUMPRODUCT((Matches!H5:H52&lt;&gt;"")*(Matches!F5:F52=C6)*(Matches!H5:H52&lt;Matches!I5:I52)*1)+SUMPRODUCT((Matches!H5:H52&lt;&gt;"")*(Matches!K5:K52=C6)*(Matches!I5:I52&lt;Matches!H5:H52)*1)</f>
        <v>0</v>
      </c>
      <c r="H6" s="189">
        <f>SUMIF(Matches!F5:F52,C6,Matches!H5:H52)+SUMIF(Matches!K5:K52,C6,Matches!I5:I52)</f>
        <v>0</v>
      </c>
      <c r="I6" s="189">
        <f>SUMIF(Matches!F5:F52,C6,Matches!I5:I52)+SUMIF(Matches!K5:K52,C6,Matches!H5:H52)</f>
        <v>0</v>
      </c>
      <c r="J6" s="189">
        <f t="shared" si="3"/>
        <v>0</v>
      </c>
      <c r="K6" s="189">
        <f t="shared" si="4"/>
        <v>0</v>
      </c>
      <c r="L6" s="189">
        <f>Setup!E10</f>
        <v>1441</v>
      </c>
      <c r="M6" s="189">
        <f>IF(Setup!F10&lt;&gt;"",Setup!F10,Setup!E10)</f>
        <v>1441</v>
      </c>
      <c r="N6" s="189">
        <f>RANK(K6,K4:K7)</f>
        <v>1</v>
      </c>
      <c r="O6" s="189">
        <f>SUMPRODUCT((N4:N7=N6)*(J4:J7&gt;J6)*1)</f>
        <v>0</v>
      </c>
      <c r="P6" s="189">
        <f t="shared" si="5"/>
        <v>1</v>
      </c>
      <c r="Q6" s="189">
        <f>SUMPRODUCT((N4:N7=N6)*(J4:J7=J6)*(H4:H7&gt;H6)*1)</f>
        <v>0</v>
      </c>
      <c r="R6" s="189">
        <f t="shared" si="6"/>
        <v>1</v>
      </c>
      <c r="S6" s="189">
        <f>RANK(R6,R4:R7,1)+COUNTIF(R4:R6,R6)-1</f>
        <v>3</v>
      </c>
      <c r="T6" s="189">
        <v>3</v>
      </c>
      <c r="U6" s="189" t="str">
        <f>INDEX(C4:C7,MATCH(T6,S4:S7,0),0)</f>
        <v>Qatar</v>
      </c>
      <c r="V6" s="189">
        <f>INDEX(R4:R7,MATCH(U6,C4:C7,0),0)</f>
        <v>1</v>
      </c>
      <c r="W6" s="189" t="str">
        <f>IF(AND(W5&lt;&gt;"",V6=1),U6,"")</f>
        <v>Qatar</v>
      </c>
      <c r="X6" s="189" t="str">
        <f>IF(X5&lt;&gt;"",U6,"")</f>
        <v/>
      </c>
      <c r="Y6" s="189" t="str">
        <f>IF(V7=3,U6,"")</f>
        <v/>
      </c>
      <c r="Z6" s="189">
        <f>SUMPRODUCT((Matches!F5:F52=W6)*(Matches!K5:K52=W4)*(Matches!H5:H52&gt;Matches!I5:I52)*1)+SUMPRODUCT((Matches!K5:K52=W6)*(Matches!F5:F52=W4)*(Matches!I5:I52&gt;Matches!H5:H52)*1)+SUMPRODUCT((Matches!F5:F52=W6)*(Matches!K5:K52=W5)*(Matches!H5:H52&gt;Matches!I5:I52)*1)+SUMPRODUCT((Matches!K5:K52=W6)*(Matches!F5:F52=W5)*(Matches!I5:I52&gt;Matches!H5:H52)*1)+SUMPRODUCT((Matches!F5:F52=W6)*(Matches!K5:K52=W7)*(Matches!H5:H52&gt;Matches!I5:I52)*1)+SUMPRODUCT((Matches!K5:K52=W6)*(Matches!F5:F52=W7)*(Matches!I5:I52&gt;Matches!H5:H52)*1)</f>
        <v>0</v>
      </c>
      <c r="AA6" s="189">
        <f>SUMPRODUCT((Matches!F5:F52=W6)*(Matches!K5:K52=W4)*(Matches!H5:H52=Matches!I5:I52)*1)+SUMPRODUCT((Matches!K5:K52=W6)*(Matches!F5:F52=W4)*(Matches!H5:H52=Matches!I5:I52)*1)+SUMPRODUCT((Matches!F5:F52=W6)*(Matches!K5:K52=W5)*(Matches!H5:H52=Matches!I5:I52)*1)+SUMPRODUCT((Matches!K5:K52=W6)*(Matches!F5:F52=W5)*(Matches!H5:H52=Matches!I5:I52)*1)+SUMPRODUCT((Matches!F5:F52=W6)*(Matches!K5:K52=W7)*(Matches!H5:H52=Matches!I5:I52)*1)+SUMPRODUCT((Matches!K5:K52=W6)*(Matches!F5:F52=W7)*(Matches!H5:H52=Matches!I5:I52)*1)</f>
        <v>3</v>
      </c>
      <c r="AB6" s="189">
        <f>SUMPRODUCT((Matches!F5:F52=W6)*(Matches!K5:K52=W4)*(Matches!H5:H52&lt;Matches!I5:I52)*1)+SUMPRODUCT((Matches!K5:K52=W6)*(Matches!F5:F52=W4)*(Matches!I5:I52&lt;Matches!H5:H52)*1)+SUMPRODUCT((Matches!F5:F52=W6)*(Matches!K5:K52=W5)*(Matches!H5:H52&lt;Matches!I5:I52)*1)+SUMPRODUCT((Matches!K5:K52=W6)*(Matches!F5:F52=W5)*(Matches!I5:I52&lt;Matches!H5:H52)*1)+SUMPRODUCT((Matches!F5:F52=W6)*(Matches!K5:K52=W7)*(Matches!H5:H52&lt;Matches!I5:I52)*1)+SUMPRODUCT((Matches!K5:K52=W6)*(Matches!F5:F52=W7)*(Matches!I5:I52&lt;Matches!H5:H52)*1)</f>
        <v>0</v>
      </c>
      <c r="AC6" s="189">
        <f>SUMIFS(Matches!H5:H52,Matches!F5:F52,W6,Matches!K5:K52,W4)+SUMIFS(Matches!H5:H52,Matches!F5:F52,W6,Matches!K5:K52,W5)+SUMIFS(Matches!H5:H52,Matches!F5:F52,W6,Matches!K5:K52,W7)+SUMIFS(Matches!I5:I52,Matches!K5:K52,W6,Matches!F5:F52,W4)+SUMIFS(Matches!I5:I52,Matches!K5:K52,W6,Matches!F5:F52,W5)+SUMIFS(Matches!I5:I52,Matches!K5:K52,W6,Matches!F5:F52,W7)</f>
        <v>0</v>
      </c>
      <c r="AD6" s="189">
        <f>SUMIFS(Matches!I5:I52,Matches!F5:F52,W6,Matches!K5:K52,W4)+SUMIFS(Matches!I5:I52,Matches!F5:F52,W6,Matches!K5:K52,W5)+SUMIFS(Matches!I5:I52,Matches!F5:F52,W6,Matches!K5:K52,W7)+SUMIFS(Matches!H5:H52,Matches!K5:K52,W6,Matches!F5:F52,W4)+SUMIFS(Matches!H5:H52,Matches!K5:K52,W6,Matches!F5:F52,W5)+SUMIFS(Matches!H5:H52,Matches!K5:K52,W6,Matches!F5:F52,W7)</f>
        <v>0</v>
      </c>
      <c r="AE6" s="189">
        <f t="shared" si="7"/>
        <v>0</v>
      </c>
      <c r="AF6" s="189">
        <f t="shared" si="8"/>
        <v>3</v>
      </c>
      <c r="AG6" s="189">
        <f>IF(W6&lt;&gt;"",SUMPRODUCT((V4:V7=V6)*(AF4:AF7&gt;AF6)*1),0)</f>
        <v>0</v>
      </c>
      <c r="AH6" s="189">
        <f>IF(W6&lt;&gt;"",SUMPRODUCT((AG4:AG7=AG6)*(AE4:AE7&gt;AE6)*1),0)</f>
        <v>0</v>
      </c>
      <c r="AI6" s="189">
        <f t="shared" si="0"/>
        <v>0</v>
      </c>
      <c r="AJ6" s="189">
        <f>IF(W6&lt;&gt;"",SUMPRODUCT((AI4:AI7=AI6)*(AG4:AG7=AG6)*(AC4:AC7&gt;AC6)*1),0)</f>
        <v>0</v>
      </c>
      <c r="AK6" s="189">
        <f t="shared" si="9"/>
        <v>1</v>
      </c>
      <c r="AL6" s="189">
        <f>SUMPRODUCT((Matches!F5:F52=X6)*(Matches!K5:K52=X5)*(Matches!H5:H52&gt;Matches!I5:I52)*1)+SUMPRODUCT((Matches!K5:K52=X6)*(Matches!F5:F52=X5)*(Matches!I5:I52&gt;Matches!H5:H52)*1)+SUMPRODUCT((Matches!F5:F52=X6)*(Matches!K5:K52=X7)*(Matches!H5:H52&gt;Matches!I5:I52)*1)+SUMPRODUCT((Matches!K5:K52=X6)*(Matches!F5:F52=X7)*(Matches!I5:I52&gt;Matches!H5:H52)*1)</f>
        <v>0</v>
      </c>
      <c r="AM6" s="189">
        <f>SUMPRODUCT((Matches!F5:F52=X6)*(Matches!K5:K52=X5)*(Matches!H5:H52=Matches!I5:I52)*1)+SUMPRODUCT((Matches!K5:K52=X6)*(Matches!F5:F52=X5)*(Matches!H5:H52=Matches!I5:I52)*1)+SUMPRODUCT((Matches!F5:F52=X6)*(Matches!K5:K52=X7)*(Matches!H5:H52=Matches!I5:I52)*1)+SUMPRODUCT((Matches!K5:K52=X6)*(Matches!F5:F52=X7)*(Matches!H5:H52=Matches!I5:I52)*1)</f>
        <v>0</v>
      </c>
      <c r="AN6" s="189">
        <f>SUMPRODUCT((Matches!F5:F52=X6)*(Matches!K5:K52=X5)*(Matches!H5:H52&lt;Matches!I5:I52)*1)+SUMPRODUCT((Matches!K5:K52=X6)*(Matches!F5:F52=X5)*(Matches!I5:I52&lt;Matches!H5:H52)*1)+SUMPRODUCT((Matches!F5:F52=X6)*(Matches!K5:K52=X7)*(Matches!H5:H52&lt;Matches!I5:I52)*1)+SUMPRODUCT((Matches!K5:K52=X6)*(Matches!F5:F52=X7)*(Matches!I5:I52&lt;Matches!H5:H52)*1)</f>
        <v>0</v>
      </c>
      <c r="AO6" s="189">
        <f>SUMIFS(Matches!H5:H52,Matches!F5:F52,X6,Matches!K5:K52,X5)+SUMIFS(Matches!H5:H52,Matches!F5:F52,X6,Matches!K5:K52,X7)+SUMIFS(Matches!I5:I52,Matches!K5:K52,X6,Matches!F5:F52,X5)+SUMIFS(Matches!I5:I52,Matches!K5:K52,X6,Matches!F5:F52,X7)</f>
        <v>0</v>
      </c>
      <c r="AP6" s="189">
        <f>SUMIFS(Matches!I5:I52,Matches!F5:F52,X6,Matches!K5:K52,X5)+SUMIFS(Matches!I5:I52,Matches!F5:F52,X6,Matches!K5:K52,X7)+SUMIFS(Matches!H5:H52,Matches!K5:K52,X6,Matches!F5:F52,X5)+SUMIFS(Matches!H5:H52,Matches!K5:K52,X6,Matches!F5:F52,X7)</f>
        <v>0</v>
      </c>
      <c r="AQ6" s="189">
        <f t="shared" si="10"/>
        <v>0</v>
      </c>
      <c r="AR6" s="189">
        <f t="shared" si="11"/>
        <v>0</v>
      </c>
      <c r="AS6" s="189">
        <f>IF(X6&lt;&gt;"",SUMPRODUCT((V4:V7=V6)*(AR4:AR7&gt;AR6)*1),0)</f>
        <v>0</v>
      </c>
      <c r="AT6" s="189">
        <f>IF(X6&lt;&gt;"",SUMPRODUCT((AS4:AS7=AS6)*(AQ4:AQ7&gt;AQ6)*1),0)</f>
        <v>0</v>
      </c>
      <c r="AU6" s="189">
        <f t="shared" si="12"/>
        <v>0</v>
      </c>
      <c r="AV6" s="189">
        <f>IF(X6&lt;&gt;"",SUMPRODUCT((AU4:AU7=AU6)*(AS4:AS7=AS6)*(AO4:AO7&gt;AO6)*1),0)</f>
        <v>0</v>
      </c>
      <c r="AW6" s="189">
        <f t="shared" si="13"/>
        <v>1</v>
      </c>
      <c r="AX6" s="189">
        <f>SUMPRODUCT((Matches!F5:F52=Y6)*(Matches!K5:K52=Y7)*(Matches!H5:H52&gt;Matches!I5:I52)*1)+SUMPRODUCT((Matches!K5:K52=Y6)*(Matches!F5:F52=Y7)*(Matches!I5:I52&gt;Matches!H5:H52)*1)</f>
        <v>0</v>
      </c>
      <c r="AY6" s="189">
        <f>SUMPRODUCT((Matches!F5:F52=Y6)*(Matches!K5:K52=Y7)*(Matches!H5:H52=Matches!I5:I52)*1)+SUMPRODUCT((Matches!K5:K52=Y6)*(Matches!F5:F52=Y7)*(Matches!I5:I52=Matches!H5:H52)*1)</f>
        <v>0</v>
      </c>
      <c r="AZ6" s="189">
        <f>SUMPRODUCT((Matches!F5:F52=Y6)*(Matches!K5:K52=Y7)*(Matches!H5:H52&lt;Matches!I5:I52)*1)+SUMPRODUCT((Matches!K5:K52=Y6)*(Matches!F5:F52=Y7)*(Matches!I5:I52&lt;Matches!H5:H52)*1)</f>
        <v>0</v>
      </c>
      <c r="BA6" s="189">
        <f>SUMIFS(Matches!H5:H52,Matches!F5:F52,Y6,Matches!K5:K52,Y7)+SUMIFS(Matches!I5:I52,Matches!K5:K52,Y6,Matches!F5:F52,Y7)</f>
        <v>0</v>
      </c>
      <c r="BB6" s="189">
        <f>SUMIFS(Matches!I5:I52,Matches!F5:F52,Y6,Matches!K5:K52,Y7)+SUMIFS(Matches!H5:H52,Matches!K5:K52,Y6,Matches!F5:F52,Y7)</f>
        <v>0</v>
      </c>
      <c r="BC6" s="189">
        <f t="shared" ref="BC6:BC7" si="15">BA6-BB6</f>
        <v>0</v>
      </c>
      <c r="BD6" s="189">
        <f t="shared" ref="BD6:BD7" si="16">AY6*1+AX6*3</f>
        <v>0</v>
      </c>
      <c r="BE6" s="189">
        <f>IF(Y6&lt;&gt;"",SUMPRODUCT((AH4:AH7=AH6)*(BD4:BD7&gt;BD6)*1),0)</f>
        <v>0</v>
      </c>
      <c r="BF6" s="189">
        <f>IF(Y6&lt;&gt;"",SUMPRODUCT((BE4:BE7=BE6)*(BC4:BC7&gt;BC6)*1),0)</f>
        <v>0</v>
      </c>
      <c r="BG6" s="189">
        <f>BE6+BF6</f>
        <v>0</v>
      </c>
      <c r="BH6" s="189">
        <f>IF(Y6&lt;&gt;"",SUMPRODUCT((BG4:BG7=BG6)*(BE4:BE7=BE6)*(BA4:BA7&gt;BA6)*1),0)</f>
        <v>0</v>
      </c>
      <c r="BI6" s="189">
        <f t="shared" ref="BI6:BI35" si="17">AW6+BG6+BH6</f>
        <v>1</v>
      </c>
      <c r="BJ6" s="189">
        <f>SUMPRODUCT((BI4:BI7=BI6)*(A4:A7&gt;A6)*1)</f>
        <v>3</v>
      </c>
      <c r="BK6" s="189">
        <f t="shared" si="14"/>
        <v>4</v>
      </c>
      <c r="BM6" s="199"/>
      <c r="BN6" s="199"/>
      <c r="BO6" s="199"/>
      <c r="BP6" s="199"/>
      <c r="BQ6" s="199"/>
      <c r="BW6" s="190"/>
    </row>
    <row r="7" spans="1:78" ht="15.5" x14ac:dyDescent="0.35">
      <c r="A7" s="189">
        <f>INDEX(M4:M35,MATCH(U7,C4:C35,0),0)</f>
        <v>1453</v>
      </c>
      <c r="B7" s="189">
        <v>4</v>
      </c>
      <c r="C7" s="189" t="str">
        <f t="shared" si="1"/>
        <v>Ecuador</v>
      </c>
      <c r="D7" s="189">
        <f t="shared" si="2"/>
        <v>0</v>
      </c>
      <c r="E7" s="189">
        <f>SUMPRODUCT((Matches!H5:H52&lt;&gt;"")*(Matches!F5:F52=C7)*(Matches!H5:H52&gt;Matches!I5:I52)*1)+SUMPRODUCT((Matches!H5:H52&lt;&gt;"")*(Matches!K5:K52=C7)*(Matches!I5:I52&gt;Matches!H5:H52)*1)</f>
        <v>0</v>
      </c>
      <c r="F7" s="189">
        <f>SUMPRODUCT((Matches!H5:H52&lt;&gt;"")*(Matches!F5:F52=C7)*(Matches!H5:H52=Matches!I5:I52)*1)+SUMPRODUCT((Matches!H5:H52&lt;&gt;"")*(Matches!K5:K52=C7)*(Matches!H5:H52=Matches!I5:I52)*1)</f>
        <v>0</v>
      </c>
      <c r="G7" s="189">
        <f>SUMPRODUCT((Matches!H5:H52&lt;&gt;"")*(Matches!F5:F52=C7)*(Matches!H5:H52&lt;Matches!I5:I52)*1)+SUMPRODUCT((Matches!H5:H52&lt;&gt;"")*(Matches!K5:K52=C7)*(Matches!I5:I52&lt;Matches!H5:H52)*1)</f>
        <v>0</v>
      </c>
      <c r="H7" s="189">
        <f>SUMIF(Matches!F5:F52,C7,Matches!H5:H52)+SUMIF(Matches!K5:K52,C7,Matches!I5:I52)</f>
        <v>0</v>
      </c>
      <c r="I7" s="189">
        <f>SUMIF(Matches!F5:F52,C7,Matches!I5:I52)+SUMIF(Matches!K5:K52,C7,Matches!H5:H52)</f>
        <v>0</v>
      </c>
      <c r="J7" s="189">
        <f t="shared" si="3"/>
        <v>0</v>
      </c>
      <c r="K7" s="189">
        <f t="shared" si="4"/>
        <v>0</v>
      </c>
      <c r="L7" s="189">
        <f>Setup!E11</f>
        <v>1453</v>
      </c>
      <c r="M7" s="189">
        <f>IF(Setup!F11&lt;&gt;"",Setup!F11,Setup!E11)</f>
        <v>1453</v>
      </c>
      <c r="N7" s="189">
        <f>RANK(K7,K4:K7)</f>
        <v>1</v>
      </c>
      <c r="O7" s="189">
        <f>SUMPRODUCT((N4:N7=N7)*(J4:J7&gt;J7)*1)</f>
        <v>0</v>
      </c>
      <c r="P7" s="189">
        <f t="shared" si="5"/>
        <v>1</v>
      </c>
      <c r="Q7" s="189">
        <f>SUMPRODUCT((N4:N7=N7)*(J4:J7=J7)*(H4:H7&gt;H7)*1)</f>
        <v>0</v>
      </c>
      <c r="R7" s="189">
        <f t="shared" si="6"/>
        <v>1</v>
      </c>
      <c r="S7" s="189">
        <f>RANK(R7,R4:R7,1)+COUNTIF(R4:R7,R7)-1</f>
        <v>4</v>
      </c>
      <c r="T7" s="189">
        <v>4</v>
      </c>
      <c r="U7" s="189" t="str">
        <f>INDEX(C4:C7,MATCH(T7,S4:S7,0),0)</f>
        <v>Ecuador</v>
      </c>
      <c r="V7" s="189">
        <f>INDEX(R4:R7,MATCH(U7,C4:C7,0),0)</f>
        <v>1</v>
      </c>
      <c r="W7" s="189" t="str">
        <f>IF(AND(W6&lt;&gt;"",V7=1),U7,"")</f>
        <v>Ecuador</v>
      </c>
      <c r="X7" s="189" t="str">
        <f>IF(AND(X6&lt;&gt;"",V7=2),U7,"")</f>
        <v/>
      </c>
      <c r="Y7" s="189" t="str">
        <f>IF(AND(Y6&lt;&gt;"",V7=3),U7,"")</f>
        <v/>
      </c>
      <c r="Z7" s="189">
        <f>SUMPRODUCT((Matches!F5:F52=W7)*(Matches!K5:K52=W4)*(Matches!H5:H52&gt;Matches!I5:I52)*1)+SUMPRODUCT((Matches!K5:K52=W7)*(Matches!F5:F52=W4)*(Matches!I5:I52&gt;Matches!H5:H52)*1)+SUMPRODUCT((Matches!F5:F52=W7)*(Matches!K5:K52=W5)*(Matches!H5:H52&gt;Matches!I5:I52)*1)+SUMPRODUCT((Matches!K5:K52=W7)*(Matches!F5:F52=W5)*(Matches!I5:I52&gt;Matches!H5:H52)*1)+SUMPRODUCT((Matches!F5:F52=W7)*(Matches!K5:K52=W6)*(Matches!H5:H52&gt;Matches!I5:I52)*1)+SUMPRODUCT((Matches!K5:K52=W7)*(Matches!F5:F52=W6)*(Matches!I5:I52&gt;Matches!H5:H52)*1)</f>
        <v>0</v>
      </c>
      <c r="AA7" s="189">
        <f>SUMPRODUCT((Matches!F5:F52=W7)*(Matches!K5:K52=W4)*(Matches!H5:H52=Matches!I5:I52)*1)+SUMPRODUCT((Matches!K5:K52=W7)*(Matches!F5:F52=W4)*(Matches!H5:H52=Matches!I5:I52)*1)+SUMPRODUCT((Matches!F5:F52=W7)*(Matches!K5:K52=W5)*(Matches!H5:H52=Matches!I5:I52)*1)+SUMPRODUCT((Matches!K5:K52=W7)*(Matches!F5:F52=W5)*(Matches!H5:H52=Matches!I5:I52)*1)+SUMPRODUCT((Matches!F5:F52=W7)*(Matches!K5:K52=W6)*(Matches!H5:H52=Matches!I5:I52)*1)+SUMPRODUCT((Matches!K5:K52=W7)*(Matches!F5:F52=W6)*(Matches!H5:H52=Matches!I5:I52)*1)</f>
        <v>3</v>
      </c>
      <c r="AB7" s="189">
        <f>SUMPRODUCT((Matches!F5:F52=W7)*(Matches!K5:K52=W4)*(Matches!H5:H52&lt;Matches!I5:I52)*1)+SUMPRODUCT((Matches!K5:K52=W7)*(Matches!F5:F52=W4)*(Matches!I5:I52&lt;Matches!H5:H52)*1)+SUMPRODUCT((Matches!F5:F52=W7)*(Matches!K5:K52=W5)*(Matches!H5:H52&lt;Matches!I5:I52)*1)+SUMPRODUCT((Matches!K5:K52=W7)*(Matches!F5:F52=W5)*(Matches!I5:I52&lt;Matches!H5:H52)*1)+SUMPRODUCT((Matches!F5:F52=W7)*(Matches!K5:K52=W6)*(Matches!H5:H52&lt;Matches!I5:I52)*1)+SUMPRODUCT((Matches!K5:K52=W7)*(Matches!F5:F52=W6)*(Matches!I5:I52&lt;Matches!H5:H52)*1)</f>
        <v>0</v>
      </c>
      <c r="AC7" s="189">
        <f>SUMIFS(Matches!H5:H52,Matches!F5:F52,W7,Matches!K5:K52,W4)+SUMIFS(Matches!H5:H52,Matches!F5:F52,W7,Matches!K5:K52,W5)+SUMIFS(Matches!H5:H52,Matches!F5:F52,W7,Matches!K5:K52,W6)+SUMIFS(Matches!I5:I52,Matches!K5:K52,W7,Matches!F5:F52,W4)+SUMIFS(Matches!I5:I52,Matches!K5:K52,W7,Matches!F5:F52,W5)+SUMIFS(Matches!I5:I52,Matches!K5:K52,W7,Matches!F5:F52,W6)</f>
        <v>0</v>
      </c>
      <c r="AD7" s="189">
        <f>SUMIFS(Matches!I5:I52,Matches!F5:F52,W7,Matches!K5:K52,W4)+SUMIFS(Matches!I5:I52,Matches!F5:F52,W7,Matches!K5:K52,W5)+SUMIFS(Matches!I5:I52,Matches!F5:F52,W7,Matches!K5:K52,W6)+SUMIFS(Matches!H5:H52,Matches!K5:K52,W7,Matches!F5:F52,W4)+SUMIFS(Matches!H5:H52,Matches!K5:K52,W7,Matches!F5:F52,W5)+SUMIFS(Matches!H5:H52,Matches!K5:K52,W7,Matches!F5:F52,W6)</f>
        <v>0</v>
      </c>
      <c r="AE7" s="189">
        <f t="shared" si="7"/>
        <v>0</v>
      </c>
      <c r="AF7" s="189">
        <f t="shared" si="8"/>
        <v>3</v>
      </c>
      <c r="AG7" s="189">
        <f>IF(W7&lt;&gt;"",SUMPRODUCT((V4:V7=V7)*(AF4:AF7&gt;AF7)*1),0)</f>
        <v>0</v>
      </c>
      <c r="AH7" s="189">
        <f>IF(W7&lt;&gt;"",SUMPRODUCT((AG4:AG7=AG7)*(AE4:AE7&gt;AE7)*1),0)</f>
        <v>0</v>
      </c>
      <c r="AI7" s="189">
        <f t="shared" si="0"/>
        <v>0</v>
      </c>
      <c r="AJ7" s="189">
        <f>IF(W7&lt;&gt;"",SUMPRODUCT((AI4:AI7=AI7)*(AG4:AG7=AG7)*(AC4:AC7&gt;AC7)*1),0)</f>
        <v>0</v>
      </c>
      <c r="AK7" s="189">
        <f t="shared" si="9"/>
        <v>1</v>
      </c>
      <c r="AL7" s="189">
        <f>SUMPRODUCT((Matches!F5:F52=X7)*(Matches!K5:K52=X5)*(Matches!H5:H52&gt;Matches!I5:I52)*1)+SUMPRODUCT((Matches!K5:K52=X7)*(Matches!F5:F52=X5)*(Matches!I5:I52&gt;Matches!H5:H52)*1)+SUMPRODUCT((Matches!F5:F52=X7)*(Matches!K5:K52=X6)*(Matches!H5:H52&gt;Matches!I5:I52)*1)+SUMPRODUCT((Matches!K5:K52=X7)*(Matches!F5:F52=X6)*(Matches!I5:I52&gt;Matches!H5:H52)*1)</f>
        <v>0</v>
      </c>
      <c r="AM7" s="189">
        <f>SUMPRODUCT((Matches!F5:F52=X7)*(Matches!K5:K52=X5)*(Matches!H5:H52=Matches!I5:I52)*1)+SUMPRODUCT((Matches!K5:K52=X7)*(Matches!F5:F52=X5)*(Matches!H5:H52=Matches!I5:I52)*1)+SUMPRODUCT((Matches!F5:F52=X7)*(Matches!K5:K52=X6)*(Matches!H5:H52=Matches!I5:I52)*1)+SUMPRODUCT((Matches!K5:K52=X7)*(Matches!F5:F52=X6)*(Matches!H5:H52=Matches!I5:I52)*1)</f>
        <v>0</v>
      </c>
      <c r="AN7" s="189">
        <f>SUMPRODUCT((Matches!F5:F52=X7)*(Matches!K5:K52=X5)*(Matches!H5:H52&lt;Matches!I5:I52)*1)+SUMPRODUCT((Matches!K5:K52=X7)*(Matches!F5:F52=X5)*(Matches!I5:I52&lt;Matches!H5:H52)*1)+SUMPRODUCT((Matches!F5:F52=X7)*(Matches!K5:K52=X6)*(Matches!H5:H52&lt;Matches!I5:I52)*1)+SUMPRODUCT((Matches!K5:K52=X7)*(Matches!F5:F52=X6)*(Matches!I5:I52&lt;Matches!H5:H52)*1)</f>
        <v>0</v>
      </c>
      <c r="AO7" s="189">
        <f>SUMIFS(Matches!H5:H52,Matches!F5:F52,X7,Matches!K5:K52,X5)+SUMIFS(Matches!H5:H52,Matches!F5:F52,X7,Matches!K5:K52,X6)+SUMIFS(Matches!I5:I52,Matches!K5:K52,X7,Matches!F5:F52,X5)+SUMIFS(Matches!I5:I52,Matches!K5:K52,X7,Matches!F5:F52,X6)</f>
        <v>0</v>
      </c>
      <c r="AP7" s="189">
        <f>SUMIFS(Matches!H5:H52,Matches!F5:F52,X7,Matches!K5:K52,X5)+SUMIFS(Matches!H5:H52,Matches!F5:F52,X7,Matches!K5:K52,X6)+SUMIFS(Matches!I5:I52,Matches!K5:K52,X7,Matches!F5:F52,X5)+SUMIFS(Matches!I5:I52,Matches!K5:K52,X7,Matches!F5:F52,X6)</f>
        <v>0</v>
      </c>
      <c r="AQ7" s="189">
        <f t="shared" si="10"/>
        <v>0</v>
      </c>
      <c r="AR7" s="189">
        <f t="shared" si="11"/>
        <v>0</v>
      </c>
      <c r="AS7" s="189">
        <f>IF(X7&lt;&gt;"",SUMPRODUCT((V4:V7=V7)*(AR4:AR7&gt;AR7)*1),0)</f>
        <v>0</v>
      </c>
      <c r="AT7" s="189">
        <f>IF(X7&lt;&gt;"",SUMPRODUCT((AS4:AS7=AS7)*(AQ4:AQ7&gt;AQ7)*1),0)</f>
        <v>0</v>
      </c>
      <c r="AU7" s="189">
        <f t="shared" si="12"/>
        <v>0</v>
      </c>
      <c r="AV7" s="189">
        <f>IF(X7&lt;&gt;"",SUMPRODUCT((AU4:AU7=AU7)*(AS4:AS7=AS7)*(AO4:AO7&gt;AO7)*1),0)</f>
        <v>0</v>
      </c>
      <c r="AW7" s="189">
        <f t="shared" si="13"/>
        <v>1</v>
      </c>
      <c r="AX7" s="189">
        <f>SUMPRODUCT((Matches!F5:F52=Y7)*(Matches!K5:K52=Y6)*(Matches!H5:H52&gt;Matches!I5:I52)*1)+SUMPRODUCT((Matches!K5:K52=Y7)*(Matches!F5:F52=Y6)*(Matches!I5:I52&gt;Matches!H5:H52)*1)</f>
        <v>0</v>
      </c>
      <c r="AY7" s="189">
        <f>SUMPRODUCT((Matches!F5:F52=Y7)*(Matches!K5:K52=Y6)*(Matches!H5:H52=Matches!I5:I52)*1)+SUMPRODUCT((Matches!K5:K52=Y7)*(Matches!F5:F52=Y6)*(Matches!I5:I52=Matches!H5:H52)*1)</f>
        <v>0</v>
      </c>
      <c r="AZ7" s="189">
        <f>SUMPRODUCT((Matches!F5:F52=Y7)*(Matches!K5:K52=Y6)*(Matches!H5:H52&lt;Matches!I5:I52)*1)+SUMPRODUCT((Matches!K5:K52=Y7)*(Matches!F5:F52=Y6)*(Matches!I5:I52&lt;Matches!H5:H52)*1)</f>
        <v>0</v>
      </c>
      <c r="BA7" s="189">
        <f>SUMIFS(Matches!H5:H52,Matches!F5:F52,Y7,Matches!K5:K52,Y6)+SUMIFS(Matches!I5:I52,Matches!K5:K52,Y7,Matches!F5:F52,Y6)</f>
        <v>0</v>
      </c>
      <c r="BB7" s="189">
        <f>SUMIFS(Matches!H5:H52,Matches!F5:F52,Y7,Matches!K5:K52,Y6)+SUMIFS(Matches!I5:I52,Matches!K5:K52,Y7,Matches!F5:F52,Y6)</f>
        <v>0</v>
      </c>
      <c r="BC7" s="189">
        <f t="shared" si="15"/>
        <v>0</v>
      </c>
      <c r="BD7" s="189">
        <f t="shared" si="16"/>
        <v>0</v>
      </c>
      <c r="BE7" s="189">
        <f>IF(Y7&lt;&gt;"",SUMPRODUCT((AH4:AH7=AH7)*(BD4:BD7&gt;BD7)*1),0)</f>
        <v>0</v>
      </c>
      <c r="BF7" s="189">
        <f>IF(Y7&lt;&gt;"",SUMPRODUCT((BE4:BE7=BE7)*(BC4:BC7&gt;BC7)*1),0)</f>
        <v>0</v>
      </c>
      <c r="BG7" s="189">
        <f>BE7+BF7</f>
        <v>0</v>
      </c>
      <c r="BH7" s="189">
        <f>IF(Y7&lt;&gt;"",SUMPRODUCT((BG4:BG7=BG7)*(BE4:BE7=BE7)*(BA4:BA7&gt;BA7)*1),0)</f>
        <v>0</v>
      </c>
      <c r="BI7" s="189">
        <f t="shared" si="17"/>
        <v>1</v>
      </c>
      <c r="BJ7" s="189">
        <f>SUMPRODUCT((BI4:BI7=BI7)*(A4:A7&gt;A7)*1)</f>
        <v>2</v>
      </c>
      <c r="BK7" s="189">
        <f t="shared" si="14"/>
        <v>3</v>
      </c>
      <c r="BM7" s="200" t="s">
        <v>123</v>
      </c>
      <c r="BN7" s="201"/>
      <c r="BO7" s="191" t="str">
        <f>Calculator!C4</f>
        <v>Senegal</v>
      </c>
      <c r="BP7" s="191" t="s">
        <v>661</v>
      </c>
      <c r="BQ7" s="191"/>
      <c r="BR7" s="189">
        <v>1</v>
      </c>
      <c r="BS7" s="202">
        <v>-12</v>
      </c>
      <c r="BT7" s="192">
        <f>TimeZoneData</f>
        <v>0</v>
      </c>
      <c r="BU7" s="22">
        <v>1</v>
      </c>
      <c r="BV7" s="193">
        <f t="shared" ref="BV7:BV70" si="18">BW7</f>
        <v>44885.791666666664</v>
      </c>
      <c r="BW7" s="194">
        <v>44885.791666666664</v>
      </c>
      <c r="BX7" s="195">
        <f t="shared" ref="BX7:BX38" si="19">BW7+TimeZoneData/24</f>
        <v>44885.791666666664</v>
      </c>
      <c r="BY7" s="189">
        <f>SUM(Matches!R5:R8)</f>
        <v>0</v>
      </c>
      <c r="BZ7" s="189" t="str">
        <f>INDEX(Language!$A$1:$K$117,MATCH(Setup!B8,Language!$B$1:$B$117,0),MATCH(Setup!$C$5,Language!$A$1:$J$1,0))</f>
        <v>Senegal</v>
      </c>
    </row>
    <row r="8" spans="1:78" x14ac:dyDescent="0.35">
      <c r="A8" s="189">
        <f>INDEX(M4:M35,MATCH(U8,C4:C35,0),0)</f>
        <v>1762</v>
      </c>
      <c r="B8" s="189">
        <f>B4</f>
        <v>1</v>
      </c>
      <c r="C8" s="189" t="str">
        <f t="shared" si="1"/>
        <v>England</v>
      </c>
      <c r="D8" s="189">
        <f t="shared" si="2"/>
        <v>0</v>
      </c>
      <c r="E8" s="189">
        <f>SUMPRODUCT((Matches!H5:H52&lt;&gt;"")*(Matches!F5:F52=C8)*(Matches!H5:H52&gt;Matches!I5:I52)*1)+SUMPRODUCT((Matches!H5:H52&lt;&gt;"")*(Matches!K5:K52=C8)*(Matches!I5:I52&gt;Matches!H5:H52)*1)</f>
        <v>0</v>
      </c>
      <c r="F8" s="189">
        <f>SUMPRODUCT((Matches!H5:H52&lt;&gt;"")*(Matches!F5:F52=C8)*(Matches!H5:H52=Matches!I5:I52)*1)+SUMPRODUCT((Matches!H5:H52&lt;&gt;"")*(Matches!K5:K52=C8)*(Matches!H5:H52=Matches!I5:I52)*1)</f>
        <v>0</v>
      </c>
      <c r="G8" s="189">
        <f>SUMPRODUCT((Matches!H5:H52&lt;&gt;"")*(Matches!F5:F52=C8)*(Matches!H5:H52&lt;Matches!I5:I52)*1)+SUMPRODUCT((Matches!H5:H52&lt;&gt;"")*(Matches!K5:K52=C8)*(Matches!I5:I52&lt;Matches!H5:H52)*1)</f>
        <v>0</v>
      </c>
      <c r="H8" s="189">
        <f>SUMIF(Matches!F5:F52,C8,Matches!H5:H52)+SUMIF(Matches!K5:K52,C8,Matches!I5:I52)</f>
        <v>0</v>
      </c>
      <c r="I8" s="189">
        <f>SUMIF(Matches!F5:F52,C8,Matches!I5:I52)+SUMIF(Matches!K5:K52,C8,Matches!H5:H52)</f>
        <v>0</v>
      </c>
      <c r="J8" s="189">
        <f t="shared" si="3"/>
        <v>0</v>
      </c>
      <c r="K8" s="189">
        <f t="shared" si="4"/>
        <v>0</v>
      </c>
      <c r="L8" s="189">
        <f>Setup!E12</f>
        <v>1762</v>
      </c>
      <c r="M8" s="189">
        <f>IF(Setup!F12&lt;&gt;"",Setup!F12,Setup!E12)</f>
        <v>1762</v>
      </c>
      <c r="N8" s="189">
        <f>RANK(K8,K8:K11)</f>
        <v>1</v>
      </c>
      <c r="O8" s="189">
        <f>SUMPRODUCT((N8:N11=N8)*(J8:J11&gt;J8)*1)</f>
        <v>0</v>
      </c>
      <c r="P8" s="189">
        <f t="shared" si="5"/>
        <v>1</v>
      </c>
      <c r="Q8" s="189">
        <f>SUMPRODUCT((N8:N11=N8)*(J8:J11=J8)*(H8:H11&gt;H8)*1)</f>
        <v>0</v>
      </c>
      <c r="R8" s="189">
        <f t="shared" si="6"/>
        <v>1</v>
      </c>
      <c r="S8" s="189">
        <f>RANK(R8,R8:R11,1)+COUNTIF(R8:R8,R8)-1</f>
        <v>1</v>
      </c>
      <c r="T8" s="189">
        <v>1</v>
      </c>
      <c r="U8" s="189" t="str">
        <f t="shared" ref="U8" si="20">INDEX(C8:C11,MATCH(T8,S8:S11,0),0)</f>
        <v>England</v>
      </c>
      <c r="V8" s="189">
        <f>INDEX(R8:R11,MATCH(U8,C8:C11,0),0)</f>
        <v>1</v>
      </c>
      <c r="W8" s="189" t="str">
        <f t="shared" ref="W8" si="21">IF(V9=1,U8,"")</f>
        <v>England</v>
      </c>
      <c r="Z8" s="189">
        <f>SUMPRODUCT((Matches!F5:F52=W8)*(Matches!K5:K52=W9)*(Matches!H5:H52&gt;Matches!I5:I52)*1)+SUMPRODUCT((Matches!K5:K52=W8)*(Matches!F5:F52=W9)*(Matches!I5:I52&gt;Matches!H5:H52)*1)+SUMPRODUCT((Matches!F5:F52=W8)*(Matches!K5:K52=W10)*(Matches!H5:H52&gt;Matches!I5:I52)*1)+SUMPRODUCT((Matches!K5:K52=W8)*(Matches!F5:F52=W10)*(Matches!I5:I52&gt;Matches!H5:H52)*1)+SUMPRODUCT((Matches!F5:F52=W8)*(Matches!K5:K52=W11)*(Matches!H5:H52&gt;Matches!I5:I52)*1)+SUMPRODUCT((Matches!K5:K52=W8)*(Matches!F5:F52=W11)*(Matches!I5:I52&gt;Matches!H5:H52)*1)</f>
        <v>0</v>
      </c>
      <c r="AA8" s="189">
        <f>SUMPRODUCT((Matches!F5:F52=W8)*(Matches!K5:K52=W9)*(Matches!H5:H52=Matches!I5:I52)*1)+SUMPRODUCT((Matches!K5:K52=W8)*(Matches!F5:F52=W9)*(Matches!H5:H52=Matches!I5:I52)*1)+SUMPRODUCT((Matches!F5:F52=W8)*(Matches!K5:K52=W10)*(Matches!H5:H52=Matches!I5:I52)*1)+SUMPRODUCT((Matches!K5:K52=W8)*(Matches!F5:F52=W10)*(Matches!H5:H52=Matches!I5:I52)*1)+SUMPRODUCT((Matches!F5:F52=W8)*(Matches!K5:K52=W11)*(Matches!H5:H52=Matches!I5:I52)*1)+SUMPRODUCT((Matches!K5:K52=W8)*(Matches!F5:F52=W11)*(Matches!H5:H52=Matches!I5:I52)*1)</f>
        <v>3</v>
      </c>
      <c r="AB8" s="189">
        <f>SUMPRODUCT((Matches!F5:F52=W8)*(Matches!K5:K52=W9)*(Matches!H5:H52&lt;Matches!I5:I52)*1)+SUMPRODUCT((Matches!K5:K52=W8)*(Matches!F5:F52=W9)*(Matches!I5:I52&lt;Matches!H5:H52)*1)+SUMPRODUCT((Matches!F5:F52=W8)*(Matches!K5:K52=W10)*(Matches!H5:H52&lt;Matches!I5:I52)*1)+SUMPRODUCT((Matches!K5:K52=W8)*(Matches!F5:F52=W10)*(Matches!I5:I52&lt;Matches!H5:H52)*1)+SUMPRODUCT((Matches!F5:F52=W8)*(Matches!K5:K52=W11)*(Matches!H5:H52&lt;Matches!I5:I52)*1)+SUMPRODUCT((Matches!K5:K52=W8)*(Matches!F5:F52=W11)*(Matches!I5:I52&lt;Matches!H5:H52)*1)</f>
        <v>0</v>
      </c>
      <c r="AC8" s="189">
        <f>SUMIFS(Matches!H5:H52,Matches!F5:F52,W8,Matches!K5:K52,W9)+SUMIFS(Matches!H5:H52,Matches!F5:F52,W8,Matches!K5:K52,W10)+SUMIFS(Matches!H5:H52,Matches!F5:F52,W8,Matches!K5:K52,W11)+SUMIFS(Matches!I5:I52,Matches!K5:K52,W8,Matches!F5:F52,W9)+SUMIFS(Matches!I5:I52,Matches!K5:K52,W8,Matches!F5:F52,W10)+SUMIFS(Matches!I5:I52,Matches!K5:K52,W8,Matches!F5:F52,W11)</f>
        <v>0</v>
      </c>
      <c r="AD8" s="189">
        <f>SUMIFS(Matches!I5:I52,Matches!F5:F52,W8,Matches!K5:K52,W9)+SUMIFS(Matches!I5:I52,Matches!F5:F52,W8,Matches!K5:K52,W10)+SUMIFS(Matches!I5:I52,Matches!F5:F52,W8,Matches!K5:K52,W11)+SUMIFS(Matches!H5:H52,Matches!K5:K52,W8,Matches!F5:F52,W9)+SUMIFS(Matches!H5:H52,Matches!K5:K52,W8,Matches!F5:F52,W10)+SUMIFS(Matches!H5:H52,Matches!K5:K52,W8,Matches!F5:F52,W11)</f>
        <v>0</v>
      </c>
      <c r="AE8" s="189">
        <f t="shared" si="7"/>
        <v>0</v>
      </c>
      <c r="AF8" s="189">
        <f t="shared" si="8"/>
        <v>3</v>
      </c>
      <c r="AG8" s="189">
        <f t="shared" ref="AG8" si="22">IF(W8&lt;&gt;"",SUMPRODUCT((V8:V11=V8)*(AF8:AF11&gt;AF8)*1),0)</f>
        <v>0</v>
      </c>
      <c r="AH8" s="189">
        <f t="shared" ref="AH8" si="23">IF(W8&lt;&gt;"",SUMPRODUCT((AG8:AG11=AG8)*(AE8:AE11&gt;AE8)*1),0)</f>
        <v>0</v>
      </c>
      <c r="AI8" s="189">
        <f t="shared" si="0"/>
        <v>0</v>
      </c>
      <c r="AJ8" s="189">
        <f t="shared" ref="AJ8" si="24">IF(W8&lt;&gt;"",SUMPRODUCT((AI8:AI11=AI8)*(AG8:AG11=AG8)*(AC8:AC11&gt;AC8)*1),0)</f>
        <v>0</v>
      </c>
      <c r="AK8" s="189">
        <f t="shared" si="9"/>
        <v>1</v>
      </c>
      <c r="AL8" s="189">
        <v>0</v>
      </c>
      <c r="AM8" s="189">
        <v>0</v>
      </c>
      <c r="AN8" s="189">
        <v>0</v>
      </c>
      <c r="AO8" s="189">
        <v>0</v>
      </c>
      <c r="AP8" s="189">
        <v>0</v>
      </c>
      <c r="AQ8" s="189">
        <f t="shared" si="10"/>
        <v>0</v>
      </c>
      <c r="AR8" s="189">
        <f t="shared" si="11"/>
        <v>0</v>
      </c>
      <c r="AS8" s="189">
        <v>0</v>
      </c>
      <c r="AT8" s="189">
        <v>0</v>
      </c>
      <c r="AU8" s="189">
        <f t="shared" si="12"/>
        <v>0</v>
      </c>
      <c r="AV8" s="189">
        <v>0</v>
      </c>
      <c r="AW8" s="189">
        <f t="shared" si="13"/>
        <v>1</v>
      </c>
      <c r="AX8" s="189">
        <v>0</v>
      </c>
      <c r="AY8" s="189">
        <v>0</v>
      </c>
      <c r="AZ8" s="189">
        <v>0</v>
      </c>
      <c r="BA8" s="189">
        <v>0</v>
      </c>
      <c r="BB8" s="189">
        <v>0</v>
      </c>
      <c r="BC8" s="189">
        <v>0</v>
      </c>
      <c r="BD8" s="189">
        <v>0</v>
      </c>
      <c r="BE8" s="189">
        <v>0</v>
      </c>
      <c r="BF8" s="189">
        <v>0</v>
      </c>
      <c r="BG8" s="189">
        <v>0</v>
      </c>
      <c r="BH8" s="189">
        <v>0</v>
      </c>
      <c r="BI8" s="189">
        <f t="shared" si="17"/>
        <v>1</v>
      </c>
      <c r="BJ8" s="189">
        <f>SUMPRODUCT((BI8:BI11=BI8)*(A8:A11&gt;A8)*1)</f>
        <v>0</v>
      </c>
      <c r="BK8" s="189">
        <f t="shared" si="14"/>
        <v>1</v>
      </c>
      <c r="BM8" s="200"/>
      <c r="BN8" s="201"/>
      <c r="BO8" s="191" t="str">
        <f>Calculator!C5</f>
        <v>Netherlands</v>
      </c>
      <c r="BP8" s="191" t="s">
        <v>662</v>
      </c>
      <c r="BQ8" s="191"/>
      <c r="BR8" s="189">
        <v>2</v>
      </c>
      <c r="BS8" s="202">
        <v>-11.5</v>
      </c>
      <c r="BU8" s="22">
        <v>2</v>
      </c>
      <c r="BV8" s="193">
        <f t="shared" si="18"/>
        <v>44886.666666666664</v>
      </c>
      <c r="BW8" s="194">
        <v>44886.666666666664</v>
      </c>
      <c r="BX8" s="195">
        <f t="shared" si="19"/>
        <v>44886.666666666664</v>
      </c>
      <c r="BZ8" s="189" t="str">
        <f>INDEX(Language!$A$1:$K$117,MATCH(Setup!B9,Language!$B$1:$B$117,0),MATCH(Setup!$C$5,Language!$A$1:$J$1,0))</f>
        <v>Netherlands</v>
      </c>
    </row>
    <row r="9" spans="1:78" x14ac:dyDescent="0.35">
      <c r="A9" s="189">
        <f>INDEX(M4:M35,MATCH(U9,C4:C35,0),0)</f>
        <v>1564</v>
      </c>
      <c r="B9" s="189">
        <f t="shared" ref="B9:B33" si="25">B5</f>
        <v>2</v>
      </c>
      <c r="C9" s="189" t="str">
        <f t="shared" si="1"/>
        <v>Iran</v>
      </c>
      <c r="D9" s="189">
        <f t="shared" si="2"/>
        <v>0</v>
      </c>
      <c r="E9" s="189">
        <f>SUMPRODUCT((Matches!H5:H52&lt;&gt;"")*(Matches!F5:F52=C9)*(Matches!H5:H52&gt;Matches!I5:I52)*1)+SUMPRODUCT((Matches!H5:H52&lt;&gt;"")*(Matches!K5:K52=C9)*(Matches!I5:I52&gt;Matches!H5:H52)*1)</f>
        <v>0</v>
      </c>
      <c r="F9" s="189">
        <f>SUMPRODUCT((Matches!H5:H52&lt;&gt;"")*(Matches!F5:F52=C9)*(Matches!H5:H52=Matches!I5:I52)*1)+SUMPRODUCT((Matches!H5:H52&lt;&gt;"")*(Matches!K5:K52=C9)*(Matches!H5:H52=Matches!I5:I52)*1)</f>
        <v>0</v>
      </c>
      <c r="G9" s="189">
        <f>SUMPRODUCT((Matches!H5:H52&lt;&gt;"")*(Matches!F5:F52=C9)*(Matches!H5:H52&lt;Matches!I5:I52)*1)+SUMPRODUCT((Matches!H5:H52&lt;&gt;"")*(Matches!K5:K52=C9)*(Matches!I5:I52&lt;Matches!H5:H52)*1)</f>
        <v>0</v>
      </c>
      <c r="H9" s="189">
        <f>SUMIF(Matches!F5:F52,C9,Matches!H5:H52)+SUMIF(Matches!K5:K52,C9,Matches!I5:I52)</f>
        <v>0</v>
      </c>
      <c r="I9" s="189">
        <f>SUMIF(Matches!F5:F52,C9,Matches!I5:I52)+SUMIF(Matches!K5:K52,C9,Matches!H5:H52)</f>
        <v>0</v>
      </c>
      <c r="J9" s="189">
        <f t="shared" si="3"/>
        <v>0</v>
      </c>
      <c r="K9" s="189">
        <f t="shared" si="4"/>
        <v>0</v>
      </c>
      <c r="L9" s="189">
        <f>Setup!E13</f>
        <v>1564</v>
      </c>
      <c r="M9" s="189">
        <f>IF(Setup!F13&lt;&gt;"",Setup!F13,Setup!E13)</f>
        <v>1564</v>
      </c>
      <c r="N9" s="189">
        <f>RANK(K9,K8:K11)</f>
        <v>1</v>
      </c>
      <c r="O9" s="189">
        <f>SUMPRODUCT((N8:N11=N9)*(J8:J11&gt;J9)*1)</f>
        <v>0</v>
      </c>
      <c r="P9" s="189">
        <f t="shared" si="5"/>
        <v>1</v>
      </c>
      <c r="Q9" s="189">
        <f>SUMPRODUCT((N8:N11=N9)*(J8:J11=J9)*(H8:H11&gt;H9)*1)</f>
        <v>0</v>
      </c>
      <c r="R9" s="189">
        <f t="shared" si="6"/>
        <v>1</v>
      </c>
      <c r="S9" s="189">
        <f>RANK(R9,R8:R11,1)+COUNTIF(R8:R9,R9)-1</f>
        <v>2</v>
      </c>
      <c r="T9" s="189">
        <v>2</v>
      </c>
      <c r="U9" s="189" t="str">
        <f t="shared" ref="U9" si="26">INDEX(C8:C11,MATCH(T9,S8:S11,0),0)</f>
        <v>Iran</v>
      </c>
      <c r="V9" s="189">
        <f>INDEX(R8:R11,MATCH(U9,C8:C11,0),0)</f>
        <v>1</v>
      </c>
      <c r="W9" s="189" t="str">
        <f t="shared" ref="W9" si="27">IF(W8&lt;&gt;"",U9,"")</f>
        <v>Iran</v>
      </c>
      <c r="X9" s="189" t="str">
        <f t="shared" ref="X9" si="28">IF(V10=2,U9,"")</f>
        <v/>
      </c>
      <c r="Z9" s="189">
        <f>SUMPRODUCT((Matches!F5:F52=W9)*(Matches!K5:K52=W8)*(Matches!H5:H52&gt;Matches!I5:I52)*1)+SUMPRODUCT((Matches!K5:K52=W9)*(Matches!F5:F52=W8)*(Matches!I5:I52&gt;Matches!H5:H52)*1)+SUMPRODUCT((Matches!F5:F52=W9)*(Matches!K5:K52=W10)*(Matches!H5:H52&gt;Matches!I5:I52)*1)+SUMPRODUCT((Matches!K5:K52=W9)*(Matches!F5:F52=W10)*(Matches!I5:I52&gt;Matches!H5:H52)*1)+SUMPRODUCT((Matches!F5:F52=W9)*(Matches!K5:K52=W11)*(Matches!H5:H52&gt;Matches!I5:I52)*1)+SUMPRODUCT((Matches!K5:K52=W9)*(Matches!F5:F52=W11)*(Matches!I5:I52&gt;Matches!H5:H52)*1)</f>
        <v>0</v>
      </c>
      <c r="AA9" s="189">
        <f>SUMPRODUCT((Matches!F5:F52=W9)*(Matches!K5:K52=W8)*(Matches!H5:H52=Matches!I5:I52)*1)+SUMPRODUCT((Matches!K5:K52=W9)*(Matches!F5:F52=W8)*(Matches!H5:H52=Matches!I5:I52)*1)+SUMPRODUCT((Matches!F5:F52=W9)*(Matches!K5:K52=W10)*(Matches!H5:H52=Matches!I5:I52)*1)+SUMPRODUCT((Matches!K5:K52=W9)*(Matches!F5:F52=W10)*(Matches!H5:H52=Matches!I5:I52)*1)+SUMPRODUCT((Matches!F5:F52=W9)*(Matches!K5:K52=W11)*(Matches!H5:H52=Matches!I5:I52)*1)+SUMPRODUCT((Matches!K5:K52=W9)*(Matches!F5:F52=W11)*(Matches!H5:H52=Matches!I5:I52)*1)</f>
        <v>3</v>
      </c>
      <c r="AB9" s="189">
        <f>SUMPRODUCT((Matches!F5:F52=W9)*(Matches!K5:K52=W8)*(Matches!H5:H52&lt;Matches!I5:I52)*1)+SUMPRODUCT((Matches!K5:K52=W9)*(Matches!F5:F52=W8)*(Matches!I5:I52&lt;Matches!H5:H52)*1)+SUMPRODUCT((Matches!F5:F52=W9)*(Matches!K5:K52=W10)*(Matches!H5:H52&lt;Matches!I5:I52)*1)+SUMPRODUCT((Matches!K5:K52=W9)*(Matches!F5:F52=W10)*(Matches!I5:I52&lt;Matches!H5:H52)*1)+SUMPRODUCT((Matches!F5:F52=W9)*(Matches!K5:K52=W11)*(Matches!H5:H52&lt;Matches!I5:I52)*1)+SUMPRODUCT((Matches!K5:K52=W9)*(Matches!F5:F52=W11)*(Matches!I5:I52&lt;Matches!H5:H52)*1)</f>
        <v>0</v>
      </c>
      <c r="AC9" s="189">
        <f>SUMIFS(Matches!H5:H52,Matches!F5:F52,W9,Matches!K5:K52,W8)+SUMIFS(Matches!H5:H52,Matches!F5:F52,W9,Matches!K5:K52,W10)+SUMIFS(Matches!H5:H52,Matches!F5:F52,W9,Matches!K5:K52,W11)+SUMIFS(Matches!I5:I52,Matches!K5:K52,W9,Matches!F5:F52,W8)+SUMIFS(Matches!I5:I52,Matches!K5:K52,W9,Matches!F5:F52,W10)+SUMIFS(Matches!I5:I52,Matches!K5:K52,W9,Matches!F5:F52,W11)</f>
        <v>0</v>
      </c>
      <c r="AD9" s="189">
        <f>SUMIFS(Matches!I5:I52,Matches!F5:F52,W9,Matches!K5:K52,W8)+SUMIFS(Matches!I5:I52,Matches!F5:F52,W9,Matches!K5:K52,W10)+SUMIFS(Matches!I5:I52,Matches!F5:F52,W9,Matches!K5:K52,W11)+SUMIFS(Matches!H5:H52,Matches!K5:K52,W9,Matches!F5:F52,W8)+SUMIFS(Matches!H5:H52,Matches!K5:K52,W9,Matches!F5:F52,W10)+SUMIFS(Matches!H5:H52,Matches!K5:K52,W9,Matches!F5:F52,W11)</f>
        <v>0</v>
      </c>
      <c r="AE9" s="189">
        <f t="shared" si="7"/>
        <v>0</v>
      </c>
      <c r="AF9" s="189">
        <f t="shared" si="8"/>
        <v>3</v>
      </c>
      <c r="AG9" s="189">
        <f t="shared" ref="AG9" si="29">IF(W9&lt;&gt;"",SUMPRODUCT((V8:V11=V9)*(AF8:AF11&gt;AF9)*1),0)</f>
        <v>0</v>
      </c>
      <c r="AH9" s="189">
        <f t="shared" ref="AH9" si="30">IF(W9&lt;&gt;"",SUMPRODUCT((AG8:AG11=AG9)*(AE8:AE11&gt;AE9)*1),0)</f>
        <v>0</v>
      </c>
      <c r="AI9" s="189">
        <f t="shared" si="0"/>
        <v>0</v>
      </c>
      <c r="AJ9" s="189">
        <f t="shared" ref="AJ9" si="31">IF(W9&lt;&gt;"",SUMPRODUCT((AI8:AI11=AI9)*(AG8:AG11=AG9)*(AC8:AC11&gt;AC9)*1),0)</f>
        <v>0</v>
      </c>
      <c r="AK9" s="189">
        <f t="shared" si="9"/>
        <v>1</v>
      </c>
      <c r="AL9" s="189">
        <f>SUMPRODUCT((Matches!F5:F52=X9)*(Matches!K5:K52=X10)*(Matches!H5:H52&gt;Matches!I5:I52)*1)+SUMPRODUCT((Matches!K5:K52=X9)*(Matches!F5:F52=X10)*(Matches!I5:I52&gt;Matches!H5:H52)*1)+SUMPRODUCT((Matches!F5:F52=X9)*(Matches!K5:K52=X11)*(Matches!H5:H52&gt;Matches!I5:I52)*1)+SUMPRODUCT((Matches!K5:K52=X9)*(Matches!F5:F52=X11)*(Matches!I5:I52&gt;Matches!H5:H52)*1)</f>
        <v>0</v>
      </c>
      <c r="AM9" s="189">
        <f>SUMPRODUCT((Matches!F5:F52=X9)*(Matches!K5:K52=X10)*(Matches!H5:H52=Matches!I5:I52)*1)+SUMPRODUCT((Matches!K5:K52=X9)*(Matches!F5:F52=X10)*(Matches!H5:H52=Matches!I5:I52)*1)+SUMPRODUCT((Matches!F5:F52=X9)*(Matches!K5:K52=X11)*(Matches!H5:H52=Matches!I5:I52)*1)+SUMPRODUCT((Matches!K5:K52=X9)*(Matches!F5:F52=X11)*(Matches!H5:H52=Matches!I5:I52)*1)</f>
        <v>0</v>
      </c>
      <c r="AN9" s="189">
        <f>SUMPRODUCT((Matches!F5:F52=X9)*(Matches!K5:K52=X10)*(Matches!H5:H52&lt;Matches!I5:I52)*1)+SUMPRODUCT((Matches!K5:K52=X9)*(Matches!F5:F52=X10)*(Matches!I5:I52&lt;Matches!H5:H52)*1)+SUMPRODUCT((Matches!F5:F52=X9)*(Matches!K5:K52=X11)*(Matches!H5:H52&lt;Matches!I5:I52)*1)+SUMPRODUCT((Matches!K5:K52=X9)*(Matches!F5:F52=X11)*(Matches!I5:I52&lt;Matches!H5:H52)*1)</f>
        <v>0</v>
      </c>
      <c r="AO9" s="189">
        <f>SUMIFS(Matches!H5:H52,Matches!F5:F52,X9,Matches!K5:K52,X10)+SUMIFS(Matches!H5:H52,Matches!F5:F52,X9,Matches!K5:K52,X11)+SUMIFS(Matches!I5:I52,Matches!K5:K52,X9,Matches!F5:F52,X10)+SUMIFS(Matches!I5:I52,Matches!K5:K52,X9,Matches!F5:F52,X11)</f>
        <v>0</v>
      </c>
      <c r="AP9" s="189">
        <f>SUMIFS(Matches!I5:I52,Matches!F5:F52,X9,Matches!K5:K52,X10)+SUMIFS(Matches!I5:I52,Matches!F5:F52,X9,Matches!K5:K52,X11)+SUMIFS(Matches!H5:H52,Matches!K5:K52,X9,Matches!F5:F52,X10)+SUMIFS(Matches!H5:H52,Matches!K5:K52,X9,Matches!F5:F52,X11)</f>
        <v>0</v>
      </c>
      <c r="AQ9" s="189">
        <f t="shared" si="10"/>
        <v>0</v>
      </c>
      <c r="AR9" s="189">
        <f t="shared" si="11"/>
        <v>0</v>
      </c>
      <c r="AS9" s="189">
        <f t="shared" ref="AS9" si="32">IF(X9&lt;&gt;"",SUMPRODUCT((V8:V11=V9)*(AR8:AR11&gt;AR9)*1),0)</f>
        <v>0</v>
      </c>
      <c r="AT9" s="189">
        <f t="shared" ref="AT9" si="33">IF(X9&lt;&gt;"",SUMPRODUCT((AS8:AS11=AS9)*(AQ8:AQ11&gt;AQ9)*1),0)</f>
        <v>0</v>
      </c>
      <c r="AU9" s="189">
        <f t="shared" si="12"/>
        <v>0</v>
      </c>
      <c r="AV9" s="189">
        <f t="shared" ref="AV9" si="34">IF(X9&lt;&gt;"",SUMPRODUCT((AU8:AU11=AU9)*(AS8:AS11=AS9)*(AO8:AO11&gt;AO9)*1),0)</f>
        <v>0</v>
      </c>
      <c r="AW9" s="189">
        <f t="shared" si="13"/>
        <v>1</v>
      </c>
      <c r="AX9" s="189">
        <v>0</v>
      </c>
      <c r="AY9" s="189">
        <v>0</v>
      </c>
      <c r="AZ9" s="189">
        <v>0</v>
      </c>
      <c r="BA9" s="189">
        <v>0</v>
      </c>
      <c r="BB9" s="189">
        <v>0</v>
      </c>
      <c r="BC9" s="189">
        <v>0</v>
      </c>
      <c r="BD9" s="189">
        <v>0</v>
      </c>
      <c r="BE9" s="189">
        <v>0</v>
      </c>
      <c r="BF9" s="189">
        <v>0</v>
      </c>
      <c r="BG9" s="189">
        <v>0</v>
      </c>
      <c r="BH9" s="189">
        <v>0</v>
      </c>
      <c r="BI9" s="189">
        <f t="shared" si="17"/>
        <v>1</v>
      </c>
      <c r="BJ9" s="189">
        <f>SUMPRODUCT((BI8:BI11=BI9)*(A8:A11&gt;A9)*1)</f>
        <v>3</v>
      </c>
      <c r="BK9" s="189">
        <f t="shared" si="14"/>
        <v>4</v>
      </c>
      <c r="BM9" s="200"/>
      <c r="BN9" s="201"/>
      <c r="BO9" s="191" t="str">
        <f>Calculator!C6</f>
        <v>Qatar</v>
      </c>
      <c r="BP9" s="191" t="s">
        <v>663</v>
      </c>
      <c r="BQ9" s="191"/>
      <c r="BR9" s="189">
        <v>3</v>
      </c>
      <c r="BS9" s="202">
        <v>-11</v>
      </c>
      <c r="BU9" s="22">
        <v>3</v>
      </c>
      <c r="BV9" s="193">
        <f t="shared" si="18"/>
        <v>44886.791666666664</v>
      </c>
      <c r="BW9" s="194">
        <v>44886.791666666664</v>
      </c>
      <c r="BX9" s="195">
        <f t="shared" si="19"/>
        <v>44886.791666666664</v>
      </c>
      <c r="BZ9" s="189" t="str">
        <f>INDEX(Language!$A$1:$K$117,MATCH(Setup!B10,Language!$B$1:$B$117,0),MATCH(Setup!$C$5,Language!$A$1:$J$1,0))</f>
        <v>Qatar</v>
      </c>
    </row>
    <row r="10" spans="1:78" x14ac:dyDescent="0.35">
      <c r="A10" s="189">
        <f>INDEX(M4:M35,MATCH(U10,C4:C35,0),0)</f>
        <v>1634</v>
      </c>
      <c r="B10" s="189">
        <f t="shared" si="25"/>
        <v>3</v>
      </c>
      <c r="C10" s="189" t="str">
        <f t="shared" si="1"/>
        <v>United States</v>
      </c>
      <c r="D10" s="189">
        <f t="shared" si="2"/>
        <v>0</v>
      </c>
      <c r="E10" s="189">
        <f>SUMPRODUCT((Matches!H5:H52&lt;&gt;"")*(Matches!F5:F52=C10)*(Matches!H5:H52&gt;Matches!I5:I52)*1)+SUMPRODUCT((Matches!H5:H52&lt;&gt;"")*(Matches!K5:K52=C10)*(Matches!I5:I52&gt;Matches!H5:H52)*1)</f>
        <v>0</v>
      </c>
      <c r="F10" s="189">
        <f>SUMPRODUCT((Matches!H5:H52&lt;&gt;"")*(Matches!F5:F52=C10)*(Matches!H5:H52=Matches!I5:I52)*1)+SUMPRODUCT((Matches!H5:H52&lt;&gt;"")*(Matches!K5:K52=C10)*(Matches!H5:H52=Matches!I5:I52)*1)</f>
        <v>0</v>
      </c>
      <c r="G10" s="189">
        <f>SUMPRODUCT((Matches!H5:H52&lt;&gt;"")*(Matches!F5:F52=C10)*(Matches!H5:H52&lt;Matches!I5:I52)*1)+SUMPRODUCT((Matches!H5:H52&lt;&gt;"")*(Matches!K5:K52=C10)*(Matches!I5:I52&lt;Matches!H5:H52)*1)</f>
        <v>0</v>
      </c>
      <c r="H10" s="189">
        <f>SUMIF(Matches!F5:F52,C10,Matches!H5:H52)+SUMIF(Matches!K5:K52,C10,Matches!I5:I52)</f>
        <v>0</v>
      </c>
      <c r="I10" s="189">
        <f>SUMIF(Matches!F5:F52,C10,Matches!I5:I52)+SUMIF(Matches!K5:K52,C10,Matches!H5:H52)</f>
        <v>0</v>
      </c>
      <c r="J10" s="189">
        <f t="shared" si="3"/>
        <v>0</v>
      </c>
      <c r="K10" s="189">
        <f t="shared" si="4"/>
        <v>0</v>
      </c>
      <c r="L10" s="189">
        <f>Setup!E14</f>
        <v>1634</v>
      </c>
      <c r="M10" s="189">
        <f>IF(Setup!F14&lt;&gt;"",Setup!F14,Setup!E14)</f>
        <v>1634</v>
      </c>
      <c r="N10" s="189">
        <f>RANK(K10,K8:K11)</f>
        <v>1</v>
      </c>
      <c r="O10" s="189">
        <f>SUMPRODUCT((N8:N11=N10)*(J8:J11&gt;J10)*1)</f>
        <v>0</v>
      </c>
      <c r="P10" s="189">
        <f t="shared" si="5"/>
        <v>1</v>
      </c>
      <c r="Q10" s="189">
        <f>SUMPRODUCT((N8:N11=N10)*(J8:J11=J10)*(H8:H11&gt;H10)*1)</f>
        <v>0</v>
      </c>
      <c r="R10" s="189">
        <f t="shared" si="6"/>
        <v>1</v>
      </c>
      <c r="S10" s="189">
        <f>RANK(R10,R8:R11,1)+COUNTIF(R8:R10,R10)-1</f>
        <v>3</v>
      </c>
      <c r="T10" s="189">
        <v>3</v>
      </c>
      <c r="U10" s="189" t="str">
        <f>INDEX(C8:C11,MATCH(T10,S8:S11,0),0)</f>
        <v>United States</v>
      </c>
      <c r="V10" s="189">
        <f>INDEX(R8:R11,MATCH(U10,C8:C11,0),0)</f>
        <v>1</v>
      </c>
      <c r="W10" s="189" t="str">
        <f t="shared" ref="W10:W11" si="35">IF(AND(W9&lt;&gt;"",V10=1),U10,"")</f>
        <v>United States</v>
      </c>
      <c r="X10" s="189" t="str">
        <f t="shared" ref="X10" si="36">IF(X9&lt;&gt;"",U10,"")</f>
        <v/>
      </c>
      <c r="Y10" s="189" t="str">
        <f t="shared" ref="Y10" si="37">IF(V11=3,U10,"")</f>
        <v/>
      </c>
      <c r="Z10" s="189">
        <f>SUMPRODUCT((Matches!F5:F52=W10)*(Matches!K5:K52=W8)*(Matches!H5:H52&gt;Matches!I5:I52)*1)+SUMPRODUCT((Matches!K5:K52=W10)*(Matches!F5:F52=W8)*(Matches!I5:I52&gt;Matches!H5:H52)*1)+SUMPRODUCT((Matches!F5:F52=W10)*(Matches!K5:K52=W9)*(Matches!H5:H52&gt;Matches!I5:I52)*1)+SUMPRODUCT((Matches!K5:K52=W10)*(Matches!F5:F52=W9)*(Matches!I5:I52&gt;Matches!H5:H52)*1)+SUMPRODUCT((Matches!F5:F52=W10)*(Matches!K5:K52=W11)*(Matches!H5:H52&gt;Matches!I5:I52)*1)+SUMPRODUCT((Matches!K5:K52=W10)*(Matches!F5:F52=W11)*(Matches!I5:I52&gt;Matches!H5:H52)*1)</f>
        <v>0</v>
      </c>
      <c r="AA10" s="189">
        <f>SUMPRODUCT((Matches!F5:F52=W10)*(Matches!K5:K52=W8)*(Matches!H5:H52=Matches!I5:I52)*1)+SUMPRODUCT((Matches!K5:K52=W10)*(Matches!F5:F52=W8)*(Matches!H5:H52=Matches!I5:I52)*1)+SUMPRODUCT((Matches!F5:F52=W10)*(Matches!K5:K52=W9)*(Matches!H5:H52=Matches!I5:I52)*1)+SUMPRODUCT((Matches!K5:K52=W10)*(Matches!F5:F52=W9)*(Matches!H5:H52=Matches!I5:I52)*1)+SUMPRODUCT((Matches!F5:F52=W10)*(Matches!K5:K52=W11)*(Matches!H5:H52=Matches!I5:I52)*1)+SUMPRODUCT((Matches!K5:K52=W10)*(Matches!F5:F52=W11)*(Matches!H5:H52=Matches!I5:I52)*1)</f>
        <v>3</v>
      </c>
      <c r="AB10" s="189">
        <f>SUMPRODUCT((Matches!F5:F52=W10)*(Matches!K5:K52=W8)*(Matches!H5:H52&lt;Matches!I5:I52)*1)+SUMPRODUCT((Matches!K5:K52=W10)*(Matches!F5:F52=W8)*(Matches!I5:I52&lt;Matches!H5:H52)*1)+SUMPRODUCT((Matches!F5:F52=W10)*(Matches!K5:K52=W9)*(Matches!H5:H52&lt;Matches!I5:I52)*1)+SUMPRODUCT((Matches!K5:K52=W10)*(Matches!F5:F52=W9)*(Matches!I5:I52&lt;Matches!H5:H52)*1)+SUMPRODUCT((Matches!F5:F52=W10)*(Matches!K5:K52=W11)*(Matches!H5:H52&lt;Matches!I5:I52)*1)+SUMPRODUCT((Matches!K5:K52=W10)*(Matches!F5:F52=W11)*(Matches!I5:I52&lt;Matches!H5:H52)*1)</f>
        <v>0</v>
      </c>
      <c r="AC10" s="189">
        <f>SUMIFS(Matches!H5:H52,Matches!F5:F52,W10,Matches!K5:K52,W8)+SUMIFS(Matches!H5:H52,Matches!F5:F52,W10,Matches!K5:K52,W9)+SUMIFS(Matches!H5:H52,Matches!F5:F52,W10,Matches!K5:K52,W11)+SUMIFS(Matches!I5:I52,Matches!K5:K52,W10,Matches!F5:F52,W8)+SUMIFS(Matches!I5:I52,Matches!K5:K52,W10,Matches!F5:F52,W9)+SUMIFS(Matches!I5:I52,Matches!K5:K52,W10,Matches!F5:F52,W11)</f>
        <v>0</v>
      </c>
      <c r="AD10" s="189">
        <f>SUMIFS(Matches!I5:I52,Matches!F5:F52,W10,Matches!K5:K52,W8)+SUMIFS(Matches!I5:I52,Matches!F5:F52,W10,Matches!K5:K52,W9)+SUMIFS(Matches!I5:I52,Matches!F5:F52,W10,Matches!K5:K52,W11)+SUMIFS(Matches!H5:H52,Matches!K5:K52,W10,Matches!F5:F52,W8)+SUMIFS(Matches!H5:H52,Matches!K5:K52,W10,Matches!F5:F52,W9)+SUMIFS(Matches!H5:H52,Matches!K5:K52,W10,Matches!F5:F52,W11)</f>
        <v>0</v>
      </c>
      <c r="AE10" s="189">
        <f t="shared" si="7"/>
        <v>0</v>
      </c>
      <c r="AF10" s="189">
        <f t="shared" si="8"/>
        <v>3</v>
      </c>
      <c r="AG10" s="189">
        <f t="shared" ref="AG10" si="38">IF(W10&lt;&gt;"",SUMPRODUCT((V8:V11=V10)*(AF8:AF11&gt;AF10)*1),0)</f>
        <v>0</v>
      </c>
      <c r="AH10" s="189">
        <f t="shared" ref="AH10" si="39">IF(W10&lt;&gt;"",SUMPRODUCT((AG8:AG11=AG10)*(AE8:AE11&gt;AE10)*1),0)</f>
        <v>0</v>
      </c>
      <c r="AI10" s="189">
        <f t="shared" si="0"/>
        <v>0</v>
      </c>
      <c r="AJ10" s="189">
        <f t="shared" ref="AJ10" si="40">IF(W10&lt;&gt;"",SUMPRODUCT((AI8:AI11=AI10)*(AG8:AG11=AG10)*(AC8:AC11&gt;AC10)*1),0)</f>
        <v>0</v>
      </c>
      <c r="AK10" s="189">
        <f t="shared" si="9"/>
        <v>1</v>
      </c>
      <c r="AL10" s="189">
        <f>SUMPRODUCT((Matches!F5:F52=X10)*(Matches!K5:K52=X9)*(Matches!H5:H52&gt;Matches!I5:I52)*1)+SUMPRODUCT((Matches!K5:K52=X10)*(Matches!F5:F52=X9)*(Matches!I5:I52&gt;Matches!H5:H52)*1)+SUMPRODUCT((Matches!F5:F52=X10)*(Matches!K5:K52=X11)*(Matches!H5:H52&gt;Matches!I5:I52)*1)+SUMPRODUCT((Matches!K5:K52=X10)*(Matches!F5:F52=X11)*(Matches!I5:I52&gt;Matches!H5:H52)*1)</f>
        <v>0</v>
      </c>
      <c r="AM10" s="189">
        <f>SUMPRODUCT((Matches!F5:F52=X10)*(Matches!K5:K52=X9)*(Matches!H5:H52=Matches!I5:I52)*1)+SUMPRODUCT((Matches!K5:K52=X10)*(Matches!F5:F52=X9)*(Matches!H5:H52=Matches!I5:I52)*1)+SUMPRODUCT((Matches!F5:F52=X10)*(Matches!K5:K52=X11)*(Matches!H5:H52=Matches!I5:I52)*1)+SUMPRODUCT((Matches!K5:K52=X10)*(Matches!F5:F52=X11)*(Matches!H5:H52=Matches!I5:I52)*1)</f>
        <v>0</v>
      </c>
      <c r="AN10" s="189">
        <f>SUMPRODUCT((Matches!F5:F52=X10)*(Matches!K5:K52=X9)*(Matches!H5:H52&lt;Matches!I5:I52)*1)+SUMPRODUCT((Matches!K5:K52=X10)*(Matches!F5:F52=X9)*(Matches!I5:I52&lt;Matches!H5:H52)*1)+SUMPRODUCT((Matches!F5:F52=X10)*(Matches!K5:K52=X11)*(Matches!H5:H52&lt;Matches!I5:I52)*1)+SUMPRODUCT((Matches!K5:K52=X10)*(Matches!F5:F52=X11)*(Matches!I5:I52&lt;Matches!H5:H52)*1)</f>
        <v>0</v>
      </c>
      <c r="AO10" s="189">
        <f>SUMIFS(Matches!H5:H52,Matches!F5:F52,X10,Matches!K5:K52,X9)+SUMIFS(Matches!H5:H52,Matches!F5:F52,X10,Matches!K5:K52,X11)+SUMIFS(Matches!I5:I52,Matches!K5:K52,X10,Matches!F5:F52,X9)+SUMIFS(Matches!I5:I52,Matches!K5:K52,X10,Matches!F5:F52,X11)</f>
        <v>0</v>
      </c>
      <c r="AP10" s="189">
        <f>SUMIFS(Matches!I5:I52,Matches!F5:F52,X10,Matches!K5:K52,X9)+SUMIFS(Matches!I5:I52,Matches!F5:F52,X10,Matches!K5:K52,X11)+SUMIFS(Matches!H5:H52,Matches!K5:K52,X10,Matches!F5:F52,X9)+SUMIFS(Matches!H5:H52,Matches!K5:K52,X10,Matches!F5:F52,X11)</f>
        <v>0</v>
      </c>
      <c r="AQ10" s="189">
        <f t="shared" si="10"/>
        <v>0</v>
      </c>
      <c r="AR10" s="189">
        <f t="shared" si="11"/>
        <v>0</v>
      </c>
      <c r="AS10" s="189">
        <f t="shared" ref="AS10" si="41">IF(X10&lt;&gt;"",SUMPRODUCT((V8:V11=V10)*(AR8:AR11&gt;AR10)*1),0)</f>
        <v>0</v>
      </c>
      <c r="AT10" s="189">
        <f t="shared" ref="AT10" si="42">IF(X10&lt;&gt;"",SUMPRODUCT((AS8:AS11=AS10)*(AQ8:AQ11&gt;AQ10)*1),0)</f>
        <v>0</v>
      </c>
      <c r="AU10" s="189">
        <f t="shared" si="12"/>
        <v>0</v>
      </c>
      <c r="AV10" s="189">
        <f t="shared" ref="AV10" si="43">IF(X10&lt;&gt;"",SUMPRODUCT((AU8:AU11=AU10)*(AS8:AS11=AS10)*(AO8:AO11&gt;AO10)*1),0)</f>
        <v>0</v>
      </c>
      <c r="AW10" s="189">
        <f t="shared" si="13"/>
        <v>1</v>
      </c>
      <c r="AX10" s="189">
        <f>SUMPRODUCT((Matches!F5:F52=Y10)*(Matches!K5:K52=Y11)*(Matches!H5:H52&gt;Matches!I5:I52)*1)+SUMPRODUCT((Matches!K5:K52=Y10)*(Matches!F5:F52=Y11)*(Matches!I5:I52&gt;Matches!H5:H52)*1)</f>
        <v>0</v>
      </c>
      <c r="AY10" s="189">
        <f>SUMPRODUCT((Matches!F5:F52=Y10)*(Matches!K5:K52=Y11)*(Matches!H5:H52=Matches!I5:I52)*1)+SUMPRODUCT((Matches!K5:K52=Y10)*(Matches!F5:F52=Y11)*(Matches!I5:I52=Matches!H5:H52)*1)</f>
        <v>0</v>
      </c>
      <c r="AZ10" s="189">
        <f>SUMPRODUCT((Matches!F5:F52=Y10)*(Matches!K5:K52=Y11)*(Matches!H5:H52&lt;Matches!I5:I52)*1)+SUMPRODUCT((Matches!K5:K52=Y10)*(Matches!F5:F52=Y11)*(Matches!I5:I52&lt;Matches!H5:H52)*1)</f>
        <v>0</v>
      </c>
      <c r="BA10" s="189">
        <f>SUMIFS(Matches!H5:H52,Matches!F5:F52,Y10,Matches!K5:K52,Y11)+SUMIFS(Matches!I5:I52,Matches!K5:K52,Y10,Matches!F5:F52,Y11)</f>
        <v>0</v>
      </c>
      <c r="BB10" s="189">
        <f>SUMIFS(Matches!I5:I52,Matches!F5:F52,Y10,Matches!K5:K52,Y11)+SUMIFS(Matches!H5:H52,Matches!K5:K52,Y10,Matches!F5:F52,Y11)</f>
        <v>0</v>
      </c>
      <c r="BC10" s="189">
        <f t="shared" ref="BC10:BC11" si="44">BA10-BB10</f>
        <v>0</v>
      </c>
      <c r="BD10" s="189">
        <f t="shared" ref="BD10:BD11" si="45">AY10*1+AX10*3</f>
        <v>0</v>
      </c>
      <c r="BE10" s="189">
        <f t="shared" ref="BE10" si="46">IF(Y10&lt;&gt;"",SUMPRODUCT((AH8:AH11=AH10)*(BD8:BD11&gt;BD10)*1),0)</f>
        <v>0</v>
      </c>
      <c r="BF10" s="189">
        <f t="shared" ref="BF10" si="47">IF(Y10&lt;&gt;"",SUMPRODUCT((BE8:BE11=BE10)*(BC8:BC11&gt;BC10)*1),0)</f>
        <v>0</v>
      </c>
      <c r="BG10" s="189">
        <f t="shared" ref="BG10:BG11" si="48">BE10+BF10</f>
        <v>0</v>
      </c>
      <c r="BH10" s="189">
        <f t="shared" ref="BH10" si="49">IF(Y10&lt;&gt;"",SUMPRODUCT((BG8:BG11=BG10)*(BE8:BE11=BE10)*(BA8:BA11&gt;BA10)*1),0)</f>
        <v>0</v>
      </c>
      <c r="BI10" s="189">
        <f t="shared" si="17"/>
        <v>1</v>
      </c>
      <c r="BJ10" s="189">
        <f>SUMPRODUCT((BI8:BI11=BI10)*(A8:A11&gt;A10)*1)</f>
        <v>1</v>
      </c>
      <c r="BK10" s="189">
        <f t="shared" si="14"/>
        <v>2</v>
      </c>
      <c r="BM10" s="200"/>
      <c r="BN10" s="201"/>
      <c r="BO10" s="191" t="str">
        <f>Calculator!C7</f>
        <v>Ecuador</v>
      </c>
      <c r="BP10" s="191" t="s">
        <v>664</v>
      </c>
      <c r="BQ10" s="191"/>
      <c r="BR10" s="189">
        <v>4</v>
      </c>
      <c r="BS10" s="202">
        <v>-10.5</v>
      </c>
      <c r="BU10" s="22">
        <v>4</v>
      </c>
      <c r="BV10" s="193">
        <f t="shared" si="18"/>
        <v>44886.916666666664</v>
      </c>
      <c r="BW10" s="194">
        <v>44886.916666666664</v>
      </c>
      <c r="BX10" s="195">
        <f t="shared" si="19"/>
        <v>44886.916666666664</v>
      </c>
      <c r="BZ10" s="189" t="str">
        <f>INDEX(Language!$A$1:$K$117,MATCH(Setup!B11,Language!$B$1:$B$117,0),MATCH(Setup!$C$5,Language!$A$1:$J$1,0))</f>
        <v>Ecuador</v>
      </c>
    </row>
    <row r="11" spans="1:78" ht="15.5" x14ac:dyDescent="0.35">
      <c r="A11" s="189">
        <f>INDEX(M4:M35,MATCH(U11,C4:C35,0),0)</f>
        <v>1588</v>
      </c>
      <c r="B11" s="189">
        <f t="shared" si="25"/>
        <v>4</v>
      </c>
      <c r="C11" s="189" t="str">
        <f t="shared" si="1"/>
        <v>Wales</v>
      </c>
      <c r="D11" s="189">
        <f t="shared" si="2"/>
        <v>0</v>
      </c>
      <c r="E11" s="189">
        <f>SUMPRODUCT((Matches!H5:H52&lt;&gt;"")*(Matches!F5:F52=C11)*(Matches!H5:H52&gt;Matches!I5:I52)*1)+SUMPRODUCT((Matches!H5:H52&lt;&gt;"")*(Matches!K5:K52=C11)*(Matches!I5:I52&gt;Matches!H5:H52)*1)</f>
        <v>0</v>
      </c>
      <c r="F11" s="189">
        <f>SUMPRODUCT((Matches!H5:H52&lt;&gt;"")*(Matches!F5:F52=C11)*(Matches!H5:H52=Matches!I5:I52)*1)+SUMPRODUCT((Matches!H5:H52&lt;&gt;"")*(Matches!K5:K52=C11)*(Matches!H5:H52=Matches!I5:I52)*1)</f>
        <v>0</v>
      </c>
      <c r="G11" s="189">
        <f>SUMPRODUCT((Matches!H5:H52&lt;&gt;"")*(Matches!F5:F52=C11)*(Matches!H5:H52&lt;Matches!I5:I52)*1)+SUMPRODUCT((Matches!H5:H52&lt;&gt;"")*(Matches!K5:K52=C11)*(Matches!I5:I52&lt;Matches!H5:H52)*1)</f>
        <v>0</v>
      </c>
      <c r="H11" s="189">
        <f>SUMIF(Matches!F5:F52,C11,Matches!H5:H52)+SUMIF(Matches!K5:K52,C11,Matches!I5:I52)</f>
        <v>0</v>
      </c>
      <c r="I11" s="189">
        <f>SUMIF(Matches!F5:F52,C11,Matches!I5:I52)+SUMIF(Matches!K5:K52,C11,Matches!H5:H52)</f>
        <v>0</v>
      </c>
      <c r="J11" s="189">
        <f t="shared" si="3"/>
        <v>0</v>
      </c>
      <c r="K11" s="189">
        <f t="shared" si="4"/>
        <v>0</v>
      </c>
      <c r="L11" s="189">
        <f>Setup!E15</f>
        <v>1588</v>
      </c>
      <c r="M11" s="189">
        <f>IF(Setup!F15&lt;&gt;"",Setup!F15,Setup!E15)</f>
        <v>1588</v>
      </c>
      <c r="N11" s="189">
        <f>RANK(K11,K8:K11)</f>
        <v>1</v>
      </c>
      <c r="O11" s="189">
        <f>SUMPRODUCT((N8:N11=N11)*(J8:J11&gt;J11)*1)</f>
        <v>0</v>
      </c>
      <c r="P11" s="189">
        <f t="shared" si="5"/>
        <v>1</v>
      </c>
      <c r="Q11" s="189">
        <f>SUMPRODUCT((N8:N11=N11)*(J8:J11=J11)*(H8:H11&gt;H11)*1)</f>
        <v>0</v>
      </c>
      <c r="R11" s="189">
        <f t="shared" si="6"/>
        <v>1</v>
      </c>
      <c r="S11" s="189">
        <f>RANK(R11,R8:R11,1)+COUNTIF(R8:R11,R11)-1</f>
        <v>4</v>
      </c>
      <c r="T11" s="189">
        <v>4</v>
      </c>
      <c r="U11" s="189" t="str">
        <f t="shared" ref="U11" si="50">INDEX(C8:C11,MATCH(T11,S8:S11,0),0)</f>
        <v>Wales</v>
      </c>
      <c r="V11" s="189">
        <f>INDEX(R8:R11,MATCH(U11,C8:C11,0),0)</f>
        <v>1</v>
      </c>
      <c r="W11" s="189" t="str">
        <f t="shared" si="35"/>
        <v>Wales</v>
      </c>
      <c r="X11" s="189" t="str">
        <f t="shared" ref="X11" si="51">IF(AND(X10&lt;&gt;"",V11=2),U11,"")</f>
        <v/>
      </c>
      <c r="Y11" s="189" t="str">
        <f t="shared" ref="Y11" si="52">IF(AND(Y10&lt;&gt;"",V11=3),U11,"")</f>
        <v/>
      </c>
      <c r="Z11" s="189">
        <f>SUMPRODUCT((Matches!F5:F52=W11)*(Matches!K5:K52=W8)*(Matches!H5:H52&gt;Matches!I5:I52)*1)+SUMPRODUCT((Matches!K5:K52=W11)*(Matches!F5:F52=W8)*(Matches!I5:I52&gt;Matches!H5:H52)*1)+SUMPRODUCT((Matches!F5:F52=W11)*(Matches!K5:K52=W9)*(Matches!H5:H52&gt;Matches!I5:I52)*1)+SUMPRODUCT((Matches!K5:K52=W11)*(Matches!F5:F52=W9)*(Matches!I5:I52&gt;Matches!H5:H52)*1)+SUMPRODUCT((Matches!F5:F52=W11)*(Matches!K5:K52=W10)*(Matches!H5:H52&gt;Matches!I5:I52)*1)+SUMPRODUCT((Matches!K5:K52=W11)*(Matches!F5:F52=W10)*(Matches!I5:I52&gt;Matches!H5:H52)*1)</f>
        <v>0</v>
      </c>
      <c r="AA11" s="189">
        <f>SUMPRODUCT((Matches!F5:F52=W11)*(Matches!K5:K52=W8)*(Matches!H5:H52&gt;=Matches!I5:I52)*1)+SUMPRODUCT((Matches!K5:K52=W11)*(Matches!F5:F52=W8)*(Matches!H5:H52=Matches!I5:I52)*1)+SUMPRODUCT((Matches!F5:F52=W11)*(Matches!K5:K52=W9)*(Matches!H5:H52=Matches!I5:I52)*1)+SUMPRODUCT((Matches!K5:K52=W11)*(Matches!F5:F52=W9)*(Matches!H5:H52=Matches!I5:I52)*1)+SUMPRODUCT((Matches!F5:F52=W11)*(Matches!K5:K52=W10)*(Matches!H5:H52=Matches!I5:I52)*1)+SUMPRODUCT((Matches!K5:K52=W11)*(Matches!F5:F52=W10)*(Matches!H5:H52=Matches!I5:I52)*1)</f>
        <v>3</v>
      </c>
      <c r="AB11" s="189">
        <f>SUMPRODUCT((Matches!F5:F52=W11)*(Matches!K5:K52=W8)*(Matches!H5:H52&lt;Matches!I5:I52)*1)+SUMPRODUCT((Matches!K5:K52=W11)*(Matches!F5:F52=W8)*(Matches!I5:I52&lt;Matches!H5:H52)*1)+SUMPRODUCT((Matches!F5:F52=W11)*(Matches!K5:K52=W9)*(Matches!H5:H52&lt;Matches!I5:I52)*1)+SUMPRODUCT((Matches!K5:K52=W11)*(Matches!F5:F52=W9)*(Matches!I5:I52&lt;Matches!H5:H52)*1)+SUMPRODUCT((Matches!F5:F52=W11)*(Matches!K5:K52=W10)*(Matches!H5:H52&lt;Matches!I5:I52)*1)+SUMPRODUCT((Matches!K5:K52=W11)*(Matches!F5:F52=W10)*(Matches!I5:I52&lt;Matches!H5:H52)*1)</f>
        <v>0</v>
      </c>
      <c r="AC11" s="189">
        <f>SUMIFS(Matches!H5:H52,Matches!F5:F52,W11,Matches!K5:K52,W8)+SUMIFS(Matches!H5:H52,Matches!F5:F52,W11,Matches!K5:K52,W9)+SUMIFS(Matches!H5:H52,Matches!F5:F52,W11,Matches!K5:K52,W10)+SUMIFS(Matches!I5:I52,Matches!K5:K52,W11,Matches!F5:F52,W8)+SUMIFS(Matches!I5:I52,Matches!K5:K52,W11,Matches!F5:F52,W9)+SUMIFS(Matches!I5:I52,Matches!K5:K52,W11,Matches!F5:F52,W10)</f>
        <v>0</v>
      </c>
      <c r="AD11" s="189">
        <f>SUMIFS(Matches!I5:I52,Matches!F5:F52,W11,Matches!K5:K52,W8)+SUMIFS(Matches!I5:I52,Matches!F5:F52,W11,Matches!K5:K52,W9)+SUMIFS(Matches!I5:I52,Matches!F5:F52,W11,Matches!K5:K52,W10)+SUMIFS(Matches!H5:H52,Matches!K5:K52,W11,Matches!F5:F52,W8)+SUMIFS(Matches!H5:H52,Matches!K5:K52,W11,Matches!F5:F52,W9)+SUMIFS(Matches!H5:H52,Matches!K5:K52,W11,Matches!F5:F52,W10)</f>
        <v>0</v>
      </c>
      <c r="AE11" s="189">
        <f t="shared" si="7"/>
        <v>0</v>
      </c>
      <c r="AF11" s="189">
        <f t="shared" si="8"/>
        <v>3</v>
      </c>
      <c r="AG11" s="189">
        <f t="shared" ref="AG11" si="53">IF(W11&lt;&gt;"",SUMPRODUCT((V8:V11=V11)*(AF8:AF11&gt;AF11)*1),0)</f>
        <v>0</v>
      </c>
      <c r="AH11" s="189">
        <f t="shared" ref="AH11" si="54">IF(W11&lt;&gt;"",SUMPRODUCT((AG8:AG11=AG11)*(AE8:AE11&gt;AE11)*1),0)</f>
        <v>0</v>
      </c>
      <c r="AI11" s="189">
        <f t="shared" si="0"/>
        <v>0</v>
      </c>
      <c r="AJ11" s="189">
        <f t="shared" ref="AJ11" si="55">IF(W11&lt;&gt;"",SUMPRODUCT((AI8:AI11=AI11)*(AG8:AG11=AG11)*(AC8:AC11&gt;AC11)*1),0)</f>
        <v>0</v>
      </c>
      <c r="AK11" s="189">
        <f t="shared" si="9"/>
        <v>1</v>
      </c>
      <c r="AL11" s="189">
        <f>SUMPRODUCT((Matches!F5:F52=X11)*(Matches!K5:K52=X9)*(Matches!H5:H52&gt;Matches!I5:I52)*1)+SUMPRODUCT((Matches!K5:K52=X11)*(Matches!F5:F52=X9)*(Matches!I5:I52&gt;Matches!H5:H52)*1)+SUMPRODUCT((Matches!F5:F52=X11)*(Matches!K5:K52=X10)*(Matches!H5:H52&gt;Matches!I5:I52)*1)+SUMPRODUCT((Matches!K5:K52=X11)*(Matches!F5:F52=X10)*(Matches!I5:I52&gt;Matches!H5:H52)*1)</f>
        <v>0</v>
      </c>
      <c r="AM11" s="189">
        <f>SUMPRODUCT((Matches!F5:F52=X11)*(Matches!K5:K52=X9)*(Matches!H5:H52=Matches!I5:I52)*1)+SUMPRODUCT((Matches!K5:K52=X11)*(Matches!F5:F52=X9)*(Matches!H5:H52=Matches!I5:I52)*1)+SUMPRODUCT((Matches!F5:F52=X11)*(Matches!K5:K52=X10)*(Matches!H5:H52=Matches!I5:I52)*1)+SUMPRODUCT((Matches!K5:K52=X11)*(Matches!F5:F52=X10)*(Matches!H5:H52=Matches!I5:I52)*1)</f>
        <v>0</v>
      </c>
      <c r="AN11" s="189">
        <f>SUMPRODUCT((Matches!F5:F52=X11)*(Matches!K5:K52=X9)*(Matches!H5:H52&lt;Matches!I5:I52)*1)+SUMPRODUCT((Matches!K5:K52=X11)*(Matches!F5:F52=X9)*(Matches!I5:I52&lt;Matches!H5:H52)*1)+SUMPRODUCT((Matches!F5:F52=X11)*(Matches!K5:K52=X10)*(Matches!H5:H52&lt;Matches!I5:I52)*1)+SUMPRODUCT((Matches!K5:K52=X11)*(Matches!F5:F52=X10)*(Matches!I5:I52&lt;Matches!H5:H52)*1)</f>
        <v>0</v>
      </c>
      <c r="AO11" s="189">
        <f>SUMIFS(Matches!H5:H52,Matches!F5:F52,X11,Matches!K5:K52,X9)+SUMIFS(Matches!H5:H52,Matches!F5:F52,X11,Matches!K5:K52,X10)+SUMIFS(Matches!I5:I52,Matches!K5:K52,X11,Matches!F5:F52,X9)+SUMIFS(Matches!I5:I52,Matches!K5:K52,X11,Matches!F5:F52,X10)</f>
        <v>0</v>
      </c>
      <c r="AP11" s="189">
        <f>SUMIFS(Matches!H5:H52,Matches!F5:F52,X11,Matches!K5:K52,X9)+SUMIFS(Matches!H5:H52,Matches!F5:F52,X11,Matches!K5:K52,X10)+SUMIFS(Matches!I5:I52,Matches!K5:K52,X11,Matches!F5:F52,X9)+SUMIFS(Matches!I5:I52,Matches!K5:K52,X11,Matches!F5:F52,X10)</f>
        <v>0</v>
      </c>
      <c r="AQ11" s="189">
        <f t="shared" si="10"/>
        <v>0</v>
      </c>
      <c r="AR11" s="189">
        <f t="shared" si="11"/>
        <v>0</v>
      </c>
      <c r="AS11" s="189">
        <f t="shared" ref="AS11" si="56">IF(X11&lt;&gt;"",SUMPRODUCT((V8:V11=V11)*(AR8:AR11&gt;AR11)*1),0)</f>
        <v>0</v>
      </c>
      <c r="AT11" s="189">
        <f t="shared" ref="AT11" si="57">IF(X11&lt;&gt;"",SUMPRODUCT((AS8:AS11=AS11)*(AQ8:AQ11&gt;AQ11)*1),0)</f>
        <v>0</v>
      </c>
      <c r="AU11" s="189">
        <f t="shared" si="12"/>
        <v>0</v>
      </c>
      <c r="AV11" s="189">
        <f t="shared" ref="AV11" si="58">IF(X11&lt;&gt;"",SUMPRODUCT((AU8:AU11=AU11)*(AS8:AS11=AS11)*(AO8:AO11&gt;AO11)*1),0)</f>
        <v>0</v>
      </c>
      <c r="AW11" s="189">
        <f t="shared" si="13"/>
        <v>1</v>
      </c>
      <c r="AX11" s="189">
        <f>SUMPRODUCT((Matches!F5:F52=Y11)*(Matches!K5:K52=Y10)*(Matches!H5:H52&gt;Matches!I5:I52)*1)+SUMPRODUCT((Matches!K5:K52=Y11)*(Matches!F5:F52=Y10)*(Matches!I5:I52&gt;Matches!H5:H52)*1)</f>
        <v>0</v>
      </c>
      <c r="AY11" s="189">
        <f>SUMPRODUCT((Matches!F5:F52=Y11)*(Matches!K5:K52=Y10)*(Matches!H5:H52=Matches!I5:I52)*1)+SUMPRODUCT((Matches!K5:K52=Y11)*(Matches!F5:F52=Y10)*(Matches!I5:I52=Matches!H5:H52)*1)</f>
        <v>0</v>
      </c>
      <c r="AZ11" s="189">
        <f>SUMPRODUCT((Matches!F5:F52=Y11)*(Matches!K5:K52=Y10)*(Matches!H5:H52&lt;Matches!I5:I52)*1)+SUMPRODUCT((Matches!K5:K52=Y11)*(Matches!F5:F52=Y10)*(Matches!I5:I52&lt;Matches!H5:H52)*1)</f>
        <v>0</v>
      </c>
      <c r="BA11" s="189">
        <f>SUMIFS(Matches!H5:H52,Matches!F5:F52,Y11,Matches!K5:K52,Y10)+SUMIFS(Matches!I5:I52,Matches!K5:K52,Y11,Matches!F5:F52,Y10)</f>
        <v>0</v>
      </c>
      <c r="BB11" s="189">
        <f>SUMIFS(Matches!H5:H52,Matches!F5:F52,Y11,Matches!K5:K52,Y10)+SUMIFS(Matches!I5:I52,Matches!K5:K52,Y11,Matches!F5:F52,Y10)</f>
        <v>0</v>
      </c>
      <c r="BC11" s="189">
        <f t="shared" si="44"/>
        <v>0</v>
      </c>
      <c r="BD11" s="189">
        <f t="shared" si="45"/>
        <v>0</v>
      </c>
      <c r="BE11" s="189">
        <f t="shared" ref="BE11" si="59">IF(Y11&lt;&gt;"",SUMPRODUCT((AH8:AH11=AH11)*(BD8:BD11&gt;BD11)*1),0)</f>
        <v>0</v>
      </c>
      <c r="BF11" s="189">
        <f t="shared" ref="BF11" si="60">IF(Y11&lt;&gt;"",SUMPRODUCT((BE8:BE11=BE11)*(BC8:BC11&gt;BC11)*1),0)</f>
        <v>0</v>
      </c>
      <c r="BG11" s="189">
        <f t="shared" si="48"/>
        <v>0</v>
      </c>
      <c r="BH11" s="189">
        <f t="shared" ref="BH11" si="61">IF(Y11&lt;&gt;"",SUMPRODUCT((BG8:BG11=BG11)*(BE8:BE11=BE11)*(BA8:BA11&gt;BA11)*1),0)</f>
        <v>0</v>
      </c>
      <c r="BI11" s="189">
        <f t="shared" si="17"/>
        <v>1</v>
      </c>
      <c r="BJ11" s="189">
        <f>SUMPRODUCT((BI8:BI11=BI11)*(A8:A11&gt;A11)*1)</f>
        <v>2</v>
      </c>
      <c r="BK11" s="189">
        <f t="shared" si="14"/>
        <v>3</v>
      </c>
      <c r="BM11" s="200" t="s">
        <v>125</v>
      </c>
      <c r="BN11" s="201"/>
      <c r="BO11" s="191" t="str">
        <f>Calculator!C8</f>
        <v>England</v>
      </c>
      <c r="BP11" s="191" t="s">
        <v>665</v>
      </c>
      <c r="BQ11" s="191"/>
      <c r="BR11" s="189">
        <v>5</v>
      </c>
      <c r="BS11" s="202">
        <v>-10</v>
      </c>
      <c r="BU11" s="22">
        <v>5</v>
      </c>
      <c r="BV11" s="193">
        <f t="shared" si="18"/>
        <v>44887.541666666664</v>
      </c>
      <c r="BW11" s="194">
        <v>44887.541666666664</v>
      </c>
      <c r="BX11" s="195">
        <f t="shared" si="19"/>
        <v>44887.541666666664</v>
      </c>
      <c r="BZ11" s="189" t="str">
        <f>INDEX(Language!$A$1:$K$117,MATCH(Setup!B12,Language!$B$1:$B$117,0),MATCH(Setup!$C$5,Language!$A$1:$J$1,0))</f>
        <v>England</v>
      </c>
    </row>
    <row r="12" spans="1:78" x14ac:dyDescent="0.35">
      <c r="A12" s="189">
        <f>INDEX(M4:M35,MATCH(U12,C4:C35,0),0)</f>
        <v>1765</v>
      </c>
      <c r="B12" s="189">
        <f t="shared" si="25"/>
        <v>1</v>
      </c>
      <c r="C12" s="189" t="str">
        <f t="shared" si="1"/>
        <v>Argentina</v>
      </c>
      <c r="D12" s="189">
        <f t="shared" si="2"/>
        <v>0</v>
      </c>
      <c r="E12" s="189">
        <f>SUMPRODUCT((Matches!H5:H52&lt;&gt;"")*(Matches!F5:F52=C12)*(Matches!H5:H52&gt;Matches!I5:I52)*1)+SUMPRODUCT((Matches!H5:H52&lt;&gt;"")*(Matches!K5:K52=C12)*(Matches!I5:I52&gt;Matches!H5:H52)*1)</f>
        <v>0</v>
      </c>
      <c r="F12" s="189">
        <f>SUMPRODUCT((Matches!H5:H52&lt;&gt;"")*(Matches!F5:F52=C12)*(Matches!H5:H52=Matches!I5:I52)*1)+SUMPRODUCT((Matches!H5:H52&lt;&gt;"")*(Matches!K5:K52=C12)*(Matches!H5:H52=Matches!I5:I52)*1)</f>
        <v>0</v>
      </c>
      <c r="G12" s="189">
        <f>SUMPRODUCT((Matches!H5:H52&lt;&gt;"")*(Matches!F5:F52=C12)*(Matches!H5:H52&lt;Matches!I5:I52)*1)+SUMPRODUCT((Matches!H5:H52&lt;&gt;"")*(Matches!K5:K52=C12)*(Matches!I5:I52&lt;Matches!H5:H52)*1)</f>
        <v>0</v>
      </c>
      <c r="H12" s="189">
        <f>SUMIF(Matches!F5:F52,C12,Matches!H5:H52)+SUMIF(Matches!K5:K52,C12,Matches!I5:I52)</f>
        <v>0</v>
      </c>
      <c r="I12" s="189">
        <f>SUMIF(Matches!F5:F52,C12,Matches!I5:I52)+SUMIF(Matches!K5:K52,C12,Matches!H5:H52)</f>
        <v>0</v>
      </c>
      <c r="J12" s="189">
        <f t="shared" si="3"/>
        <v>0</v>
      </c>
      <c r="K12" s="189">
        <f t="shared" si="4"/>
        <v>0</v>
      </c>
      <c r="L12" s="189">
        <f>Setup!E16</f>
        <v>1765</v>
      </c>
      <c r="M12" s="189">
        <f>IF(Setup!F16&lt;&gt;"",Setup!F16,Setup!E16)</f>
        <v>1765</v>
      </c>
      <c r="N12" s="189">
        <f>RANK(K12,K12:K15)</f>
        <v>1</v>
      </c>
      <c r="O12" s="189">
        <f>SUMPRODUCT((N12:N15=N12)*(J12:J15&gt;J12)*1)</f>
        <v>0</v>
      </c>
      <c r="P12" s="189">
        <f t="shared" si="5"/>
        <v>1</v>
      </c>
      <c r="Q12" s="189">
        <f>SUMPRODUCT((N12:N15=N12)*(J12:J15=J12)*(H12:H15&gt;H12)*1)</f>
        <v>0</v>
      </c>
      <c r="R12" s="189">
        <f t="shared" si="6"/>
        <v>1</v>
      </c>
      <c r="S12" s="189">
        <f>IF(LEFT(About!C5,2)="jo",RANK(R12,R12:R15,1)+COUNTIF(R12:R12,R12)-1,2)</f>
        <v>1</v>
      </c>
      <c r="T12" s="189">
        <v>1</v>
      </c>
      <c r="U12" s="189" t="str">
        <f t="shared" ref="U12" si="62">INDEX(C12:C15,MATCH(T12,S12:S15,0),0)</f>
        <v>Argentina</v>
      </c>
      <c r="V12" s="189">
        <f>INDEX(R12:R15,MATCH(U12,C12:C15,0),0)</f>
        <v>1</v>
      </c>
      <c r="W12" s="189" t="str">
        <f t="shared" ref="W12" si="63">IF(V13=1,U12,"")</f>
        <v>Argentina</v>
      </c>
      <c r="Z12" s="189">
        <f>SUMPRODUCT((Matches!F5:F52=W12)*(Matches!K5:K52=W13)*(Matches!H5:H52&gt;Matches!I5:I52)*1)+SUMPRODUCT((Matches!K5:K52=W12)*(Matches!F5:F52=W13)*(Matches!I5:I52&gt;Matches!H5:H52)*1)+SUMPRODUCT((Matches!F5:F52=W12)*(Matches!K5:K52=W14)*(Matches!H5:H52&gt;Matches!I5:I52)*1)+SUMPRODUCT((Matches!K5:K52=W12)*(Matches!F5:F52=W14)*(Matches!I5:I52&gt;Matches!H5:H52)*1)+SUMPRODUCT((Matches!F5:F52=W12)*(Matches!K5:K52=W15)*(Matches!H5:H52&gt;Matches!I5:I52)*1)+SUMPRODUCT((Matches!K5:K52=W12)*(Matches!F5:F52=W15)*(Matches!I5:I52&gt;Matches!H5:H52)*1)</f>
        <v>0</v>
      </c>
      <c r="AA12" s="189">
        <f>SUMPRODUCT((Matches!F5:F52=W12)*(Matches!K5:K52=W13)*(Matches!H5:H52=Matches!I5:I52)*1)+SUMPRODUCT((Matches!K5:K52=W12)*(Matches!F5:F52=W13)*(Matches!H5:H52=Matches!I5:I52)*1)+SUMPRODUCT((Matches!F5:F52=W12)*(Matches!K5:K52=W14)*(Matches!H5:H52=Matches!I5:I52)*1)+SUMPRODUCT((Matches!K5:K52=W12)*(Matches!F5:F52=W14)*(Matches!H5:H52=Matches!I5:I52)*1)+SUMPRODUCT((Matches!F5:F52=W12)*(Matches!K5:K52=W15)*(Matches!H5:H52=Matches!I5:I52)*1)+SUMPRODUCT((Matches!K5:K52=W12)*(Matches!F5:F52=W15)*(Matches!H5:H52=Matches!I5:I52)*1)</f>
        <v>3</v>
      </c>
      <c r="AB12" s="189">
        <f>SUMPRODUCT((Matches!F5:F52=W12)*(Matches!K5:K52=W13)*(Matches!H5:H52&lt;Matches!I5:I52)*1)+SUMPRODUCT((Matches!K5:K52=W12)*(Matches!F5:F52=W13)*(Matches!I5:I52&lt;Matches!H5:H52)*1)+SUMPRODUCT((Matches!F5:F52=W12)*(Matches!K5:K52=W14)*(Matches!H5:H52&lt;Matches!I5:I52)*1)+SUMPRODUCT((Matches!K5:K52=W12)*(Matches!F5:F52=W14)*(Matches!I5:I52&lt;Matches!H5:H52)*1)+SUMPRODUCT((Matches!F5:F52=W12)*(Matches!K5:K52=W15)*(Matches!H5:H52&lt;Matches!I5:I52)*1)+SUMPRODUCT((Matches!K5:K52=W12)*(Matches!F5:F52=W15)*(Matches!I5:I52&lt;Matches!H5:H52)*1)</f>
        <v>0</v>
      </c>
      <c r="AC12" s="189">
        <f>SUMIFS(Matches!H5:H52,Matches!F5:F52,W12,Matches!K5:K52,W13)+SUMIFS(Matches!H5:H52,Matches!F5:F52,W12,Matches!K5:K52,W14)+SUMIFS(Matches!H5:H52,Matches!F5:F52,W12,Matches!K5:K52,W15)+SUMIFS(Matches!I5:I52,Matches!K5:K52,W12,Matches!F5:F52,W13)+SUMIFS(Matches!I5:I52,Matches!K5:K52,W12,Matches!F5:F52,W14)+SUMIFS(Matches!I5:I52,Matches!K5:K52,W12,Matches!F5:F52,W15)</f>
        <v>0</v>
      </c>
      <c r="AD12" s="189">
        <f>SUMIFS(Matches!I5:I52,Matches!F5:F52,W12,Matches!K5:K52,W13)+SUMIFS(Matches!I5:I52,Matches!F5:F52,W12,Matches!K5:K52,W14)+SUMIFS(Matches!I5:I52,Matches!F5:F52,W12,Matches!K5:K52,W15)+SUMIFS(Matches!H5:H52,Matches!K5:K52,W12,Matches!F5:F52,W13)+SUMIFS(Matches!H5:H52,Matches!K5:K52,W12,Matches!F5:F52,W14)+SUMIFS(Matches!H5:H52,Matches!K5:K52,W12,Matches!F5:F52,W15)</f>
        <v>0</v>
      </c>
      <c r="AE12" s="189">
        <f t="shared" si="7"/>
        <v>0</v>
      </c>
      <c r="AF12" s="189">
        <f t="shared" si="8"/>
        <v>3</v>
      </c>
      <c r="AG12" s="189">
        <f t="shared" ref="AG12" si="64">IF(W12&lt;&gt;"",SUMPRODUCT((V12:V15=V12)*(AF12:AF15&gt;AF12)*1),0)</f>
        <v>0</v>
      </c>
      <c r="AH12" s="189">
        <f t="shared" ref="AH12" si="65">IF(W12&lt;&gt;"",SUMPRODUCT((AG12:AG15=AG12)*(AE12:AE15&gt;AE12)*1),0)</f>
        <v>0</v>
      </c>
      <c r="AI12" s="189">
        <f t="shared" si="0"/>
        <v>0</v>
      </c>
      <c r="AJ12" s="189">
        <f t="shared" ref="AJ12" si="66">IF(W12&lt;&gt;"",SUMPRODUCT((AI12:AI15=AI12)*(AG12:AG15=AG12)*(AC12:AC15&gt;AC12)*1),0)</f>
        <v>0</v>
      </c>
      <c r="AK12" s="189">
        <f t="shared" si="9"/>
        <v>1</v>
      </c>
      <c r="AL12" s="189">
        <v>0</v>
      </c>
      <c r="AM12" s="189">
        <v>0</v>
      </c>
      <c r="AN12" s="189">
        <v>0</v>
      </c>
      <c r="AO12" s="189">
        <v>0</v>
      </c>
      <c r="AP12" s="189">
        <v>0</v>
      </c>
      <c r="AQ12" s="189">
        <f t="shared" si="10"/>
        <v>0</v>
      </c>
      <c r="AR12" s="189">
        <f t="shared" si="11"/>
        <v>0</v>
      </c>
      <c r="AS12" s="189">
        <v>0</v>
      </c>
      <c r="AT12" s="189">
        <v>0</v>
      </c>
      <c r="AU12" s="189">
        <f t="shared" si="12"/>
        <v>0</v>
      </c>
      <c r="AV12" s="189">
        <v>0</v>
      </c>
      <c r="AW12" s="189">
        <f>IF(License!G12="© 2022 | journalSHEET.com",AK12+AU12+AV12,0)</f>
        <v>1</v>
      </c>
      <c r="AX12" s="189">
        <v>0</v>
      </c>
      <c r="AY12" s="189">
        <v>0</v>
      </c>
      <c r="AZ12" s="189">
        <v>0</v>
      </c>
      <c r="BA12" s="189">
        <v>0</v>
      </c>
      <c r="BB12" s="189">
        <v>0</v>
      </c>
      <c r="BC12" s="189">
        <v>0</v>
      </c>
      <c r="BD12" s="189">
        <v>0</v>
      </c>
      <c r="BE12" s="189">
        <v>0</v>
      </c>
      <c r="BF12" s="189">
        <v>0</v>
      </c>
      <c r="BG12" s="189">
        <v>0</v>
      </c>
      <c r="BH12" s="189">
        <v>0</v>
      </c>
      <c r="BI12" s="189">
        <f t="shared" si="17"/>
        <v>1</v>
      </c>
      <c r="BJ12" s="189">
        <f>SUMPRODUCT((BI12:BI15=BI12)*(A12:A15&gt;A12)*1)</f>
        <v>0</v>
      </c>
      <c r="BK12" s="189">
        <f t="shared" si="14"/>
        <v>1</v>
      </c>
      <c r="BM12" s="200"/>
      <c r="BN12" s="201"/>
      <c r="BO12" s="191" t="str">
        <f>Calculator!C9</f>
        <v>Iran</v>
      </c>
      <c r="BP12" s="191" t="s">
        <v>666</v>
      </c>
      <c r="BQ12" s="191"/>
      <c r="BR12" s="189">
        <v>6</v>
      </c>
      <c r="BS12" s="202">
        <v>-9.5</v>
      </c>
      <c r="BU12" s="22">
        <v>6</v>
      </c>
      <c r="BV12" s="193">
        <f t="shared" si="18"/>
        <v>44887.666666666664</v>
      </c>
      <c r="BW12" s="194">
        <v>44887.666666666664</v>
      </c>
      <c r="BX12" s="195">
        <f t="shared" si="19"/>
        <v>44887.666666666664</v>
      </c>
      <c r="BZ12" s="189" t="str">
        <f>INDEX(Language!$A$1:$K$117,MATCH(Setup!B13,Language!$B$1:$B$117,0),MATCH(Setup!$C$5,Language!$A$1:$J$1,0))</f>
        <v>Iran</v>
      </c>
    </row>
    <row r="13" spans="1:78" x14ac:dyDescent="0.35">
      <c r="A13" s="189">
        <f>INDEX(M4:M35,MATCH(U13,C4:C35,0),0)</f>
        <v>1445</v>
      </c>
      <c r="B13" s="189">
        <f t="shared" si="25"/>
        <v>2</v>
      </c>
      <c r="C13" s="189" t="str">
        <f t="shared" si="1"/>
        <v>Saudi Arabia</v>
      </c>
      <c r="D13" s="189">
        <f t="shared" si="2"/>
        <v>0</v>
      </c>
      <c r="E13" s="189">
        <f>SUMPRODUCT((Matches!H5:H52&lt;&gt;"")*(Matches!F5:F52=C13)*(Matches!H5:H52&gt;Matches!I5:I52)*1)+SUMPRODUCT((Matches!H5:H52&lt;&gt;"")*(Matches!K5:K52=C13)*(Matches!I5:I52&gt;Matches!H5:H52)*1)</f>
        <v>0</v>
      </c>
      <c r="F13" s="189">
        <f>SUMPRODUCT((Matches!H5:H52&lt;&gt;"")*(Matches!F5:F52=C13)*(Matches!H5:H52=Matches!I5:I52)*1)+SUMPRODUCT((Matches!H5:H52&lt;&gt;"")*(Matches!K5:K52=C13)*(Matches!H5:H52=Matches!I5:I52)*1)</f>
        <v>0</v>
      </c>
      <c r="G13" s="189">
        <f>SUMPRODUCT((Matches!H5:H52&lt;&gt;"")*(Matches!F5:F52=C13)*(Matches!H5:H52&lt;Matches!I5:I52)*1)+SUMPRODUCT((Matches!H5:H52&lt;&gt;"")*(Matches!K5:K52=C13)*(Matches!I5:I52&lt;Matches!H5:H52)*1)</f>
        <v>0</v>
      </c>
      <c r="H13" s="189">
        <f>SUMIF(Matches!F5:F52,C13,Matches!H5:H52)+SUMIF(Matches!K5:K52,C13,Matches!I5:I52)</f>
        <v>0</v>
      </c>
      <c r="I13" s="189">
        <f>SUMIF(Matches!F5:F52,C13,Matches!I5:I52)+SUMIF(Matches!K5:K52,C13,Matches!H5:H52)</f>
        <v>0</v>
      </c>
      <c r="J13" s="189">
        <f t="shared" si="3"/>
        <v>0</v>
      </c>
      <c r="K13" s="189">
        <f t="shared" si="4"/>
        <v>0</v>
      </c>
      <c r="L13" s="189">
        <f>Setup!E17</f>
        <v>1445</v>
      </c>
      <c r="M13" s="189">
        <f>IF(Setup!F17&lt;&gt;"",Setup!F17,Setup!E17)</f>
        <v>1445</v>
      </c>
      <c r="N13" s="189">
        <f>RANK(K13,K12:K15)</f>
        <v>1</v>
      </c>
      <c r="O13" s="189">
        <f>SUMPRODUCT((N12:N15=N13)*(J12:J15&gt;J13)*1)</f>
        <v>0</v>
      </c>
      <c r="P13" s="189">
        <f t="shared" si="5"/>
        <v>1</v>
      </c>
      <c r="Q13" s="189">
        <f>SUMPRODUCT((N12:N15=N13)*(J12:J15=J13)*(H12:H15&gt;H13)*1)</f>
        <v>0</v>
      </c>
      <c r="R13" s="189">
        <f t="shared" si="6"/>
        <v>1</v>
      </c>
      <c r="S13" s="189">
        <f>RANK(R13,R12:R15,1)+COUNTIF(R12:R13,R13)-1</f>
        <v>2</v>
      </c>
      <c r="T13" s="189">
        <v>2</v>
      </c>
      <c r="U13" s="189" t="str">
        <f t="shared" ref="U13" si="67">INDEX(C12:C15,MATCH(T13,S12:S15,0),0)</f>
        <v>Saudi Arabia</v>
      </c>
      <c r="V13" s="189">
        <f>INDEX(R12:R15,MATCH(U13,C12:C15,0),0)</f>
        <v>1</v>
      </c>
      <c r="W13" s="189" t="str">
        <f t="shared" ref="W13" si="68">IF(W12&lt;&gt;"",U13,"")</f>
        <v>Saudi Arabia</v>
      </c>
      <c r="X13" s="189" t="str">
        <f t="shared" ref="X13" si="69">IF(V14=2,U13,"")</f>
        <v/>
      </c>
      <c r="Z13" s="189">
        <f>SUMPRODUCT((Matches!F5:F52=W13)*(Matches!K5:K52=W12)*(Matches!H5:H52&gt;Matches!I5:I52)*1)+SUMPRODUCT((Matches!K5:K52=W13)*(Matches!F5:F52=W12)*(Matches!I5:I52&gt;Matches!H5:H52)*1)+SUMPRODUCT((Matches!F5:F52=W13)*(Matches!K5:K52=W14)*(Matches!H5:H52&gt;Matches!I5:I52)*1)+SUMPRODUCT((Matches!K5:K52=W13)*(Matches!F5:F52=W14)*(Matches!I5:I52&gt;Matches!H5:H52)*1)+SUMPRODUCT((Matches!F5:F52=W13)*(Matches!K5:K52=W15)*(Matches!H5:H52&gt;Matches!I5:I52)*1)+SUMPRODUCT((Matches!K5:K52=W13)*(Matches!F5:F52=W15)*(Matches!I5:I52&gt;Matches!H5:H52)*1)</f>
        <v>0</v>
      </c>
      <c r="AA13" s="189">
        <f>SUMPRODUCT((Matches!F5:F52=W13)*(Matches!K5:K52=W12)*(Matches!H5:H52=Matches!I5:I52)*1)+SUMPRODUCT((Matches!K5:K52=W13)*(Matches!F5:F52=W12)*(Matches!H5:H52=Matches!I5:I52)*1)+SUMPRODUCT((Matches!F5:F52=W13)*(Matches!K5:K52=W14)*(Matches!H5:H52=Matches!I5:I52)*1)+SUMPRODUCT((Matches!K5:K52=W13)*(Matches!F5:F52=W14)*(Matches!H5:H52=Matches!I5:I52)*1)+SUMPRODUCT((Matches!F5:F52=W13)*(Matches!K5:K52=W15)*(Matches!H5:H52=Matches!I5:I52)*1)+SUMPRODUCT((Matches!K5:K52=W13)*(Matches!F5:F52=W15)*(Matches!H5:H52=Matches!I5:I52)*1)</f>
        <v>3</v>
      </c>
      <c r="AB13" s="189">
        <f>SUMPRODUCT((Matches!F5:F52=W13)*(Matches!K5:K52=W12)*(Matches!H5:H52&lt;Matches!I5:I52)*1)+SUMPRODUCT((Matches!K5:K52=W13)*(Matches!F5:F52=W12)*(Matches!I5:I52&lt;Matches!H5:H52)*1)+SUMPRODUCT((Matches!F5:F52=W13)*(Matches!K5:K52=W14)*(Matches!H5:H52&lt;Matches!I5:I52)*1)+SUMPRODUCT((Matches!K5:K52=W13)*(Matches!F5:F52=W14)*(Matches!I5:I52&lt;Matches!H5:H52)*1)+SUMPRODUCT((Matches!F5:F52=W13)*(Matches!K5:K52=W15)*(Matches!H5:H52&lt;Matches!I5:I52)*1)+SUMPRODUCT((Matches!K5:K52=W13)*(Matches!F5:F52=W15)*(Matches!I5:I52&lt;Matches!H5:H52)*1)</f>
        <v>0</v>
      </c>
      <c r="AC13" s="189">
        <f>SUMIFS(Matches!H5:H52,Matches!F5:F52,W13,Matches!K5:K52,W12)+SUMIFS(Matches!H5:H52,Matches!F5:F52,W13,Matches!K5:K52,W14)+SUMIFS(Matches!H5:H52,Matches!F5:F52,W13,Matches!K5:K52,W15)+SUMIFS(Matches!I5:I52,Matches!K5:K52,W13,Matches!F5:F52,W12)+SUMIFS(Matches!I5:I52,Matches!K5:K52,W13,Matches!F5:F52,W14)+SUMIFS(Matches!I5:I52,Matches!K5:K52,W13,Matches!F5:F52,W15)</f>
        <v>0</v>
      </c>
      <c r="AD13" s="189">
        <f>SUMIFS(Matches!I5:I52,Matches!F5:F52,W13,Matches!K5:K52,W12)+SUMIFS(Matches!I5:I52,Matches!F5:F52,W13,Matches!K5:K52,W14)+SUMIFS(Matches!I5:I52,Matches!F5:F52,W13,Matches!K5:K52,W15)+SUMIFS(Matches!H5:H52,Matches!K5:K52,W13,Matches!F5:F52,W12)+SUMIFS(Matches!H5:H52,Matches!K5:K52,W13,Matches!F5:F52,W14)+SUMIFS(Matches!H5:H52,Matches!K5:K52,W13,Matches!F5:F52,W15)</f>
        <v>0</v>
      </c>
      <c r="AE13" s="189">
        <f t="shared" si="7"/>
        <v>0</v>
      </c>
      <c r="AF13" s="189">
        <f t="shared" si="8"/>
        <v>3</v>
      </c>
      <c r="AG13" s="189">
        <f t="shared" ref="AG13" si="70">IF(W13&lt;&gt;"",SUMPRODUCT((V12:V15=V13)*(AF12:AF15&gt;AF13)*1),0)</f>
        <v>0</v>
      </c>
      <c r="AH13" s="189">
        <f t="shared" ref="AH13" si="71">IF(W13&lt;&gt;"",SUMPRODUCT((AG12:AG15=AG13)*(AE12:AE15&gt;AE13)*1),0)</f>
        <v>0</v>
      </c>
      <c r="AI13" s="189">
        <f t="shared" si="0"/>
        <v>0</v>
      </c>
      <c r="AJ13" s="189">
        <f t="shared" ref="AJ13" si="72">IF(W13&lt;&gt;"",SUMPRODUCT((AI12:AI15=AI13)*(AG12:AG15=AG13)*(AC12:AC15&gt;AC13)*1),0)</f>
        <v>0</v>
      </c>
      <c r="AK13" s="189">
        <f t="shared" si="9"/>
        <v>1</v>
      </c>
      <c r="AL13" s="189">
        <f>SUMPRODUCT((Matches!F5:F52=X13)*(Matches!K5:K52=X14)*(Matches!H5:H52&gt;Matches!I5:I52)*1)+SUMPRODUCT((Matches!K5:K52=X13)*(Matches!F5:F52=X14)*(Matches!I5:I52&gt;Matches!H5:H52)*1)+SUMPRODUCT((Matches!F5:F52=X13)*(Matches!K5:K52=X15)*(Matches!H5:H52&gt;Matches!I5:I52)*1)+SUMPRODUCT((Matches!K5:K52=X13)*(Matches!F5:F52=X15)*(Matches!I5:I52&gt;Matches!H5:H52)*1)</f>
        <v>0</v>
      </c>
      <c r="AM13" s="189">
        <f>SUMPRODUCT((Matches!F5:F52=X13)*(Matches!K5:K52=X14)*(Matches!H5:H52=Matches!I5:I52)*1)+SUMPRODUCT((Matches!K5:K52=X13)*(Matches!F5:F52=X14)*(Matches!H5:H52=Matches!I5:I52)*1)+SUMPRODUCT((Matches!F5:F52=X13)*(Matches!K5:K52=X15)*(Matches!H5:H52=Matches!I5:I52)*1)+SUMPRODUCT((Matches!K5:K52=X13)*(Matches!F5:F52=X15)*(Matches!H5:H52=Matches!I5:I52)*1)</f>
        <v>0</v>
      </c>
      <c r="AN13" s="189">
        <f>SUMPRODUCT((Matches!F5:F52=X13)*(Matches!K5:K52=X14)*(Matches!H5:H52&lt;Matches!I5:I52)*1)+SUMPRODUCT((Matches!K5:K52=X13)*(Matches!F5:F52=X14)*(Matches!I5:I52&lt;Matches!H5:H52)*1)+SUMPRODUCT((Matches!F5:F52=X13)*(Matches!K5:K52=X15)*(Matches!H5:H52&lt;Matches!I5:I52)*1)+SUMPRODUCT((Matches!K5:K52=X13)*(Matches!F5:F52=X15)*(Matches!I5:I52&lt;Matches!H5:H52)*1)</f>
        <v>0</v>
      </c>
      <c r="AO13" s="189">
        <f>SUMIFS(Matches!H5:H52,Matches!F5:F52,X13,Matches!K5:K52,X14)+SUMIFS(Matches!H5:H52,Matches!F5:F52,X13,Matches!K5:K52,X15)+SUMIFS(Matches!I5:I52,Matches!K5:K52,X13,Matches!F5:F52,X14)+SUMIFS(Matches!I5:I52,Matches!K5:K52,X13,Matches!F5:F52,X15)</f>
        <v>0</v>
      </c>
      <c r="AP13" s="189">
        <f>SUMIFS(Matches!I5:I52,Matches!F5:F52,X13,Matches!K5:K52,X14)+SUMIFS(Matches!I5:I52,Matches!F5:F52,X13,Matches!K5:K52,X15)+SUMIFS(Matches!H5:H52,Matches!K5:K52,X13,Matches!F5:F52,X14)+SUMIFS(Matches!H5:H52,Matches!K5:K52,X13,Matches!F5:F52,X15)</f>
        <v>0</v>
      </c>
      <c r="AQ13" s="189">
        <f t="shared" si="10"/>
        <v>0</v>
      </c>
      <c r="AR13" s="189">
        <f t="shared" si="11"/>
        <v>0</v>
      </c>
      <c r="AS13" s="189">
        <f t="shared" ref="AS13" si="73">IF(X13&lt;&gt;"",SUMPRODUCT((V12:V15=V13)*(AR12:AR15&gt;AR13)*1),0)</f>
        <v>0</v>
      </c>
      <c r="AT13" s="189">
        <f t="shared" ref="AT13" si="74">IF(X13&lt;&gt;"",SUMPRODUCT((AS12:AS15=AS13)*(AQ12:AQ15&gt;AQ13)*1),0)</f>
        <v>0</v>
      </c>
      <c r="AU13" s="189">
        <f t="shared" si="12"/>
        <v>0</v>
      </c>
      <c r="AV13" s="189">
        <f t="shared" ref="AV13" si="75">IF(X13&lt;&gt;"",SUMPRODUCT((AU12:AU15=AU13)*(AS12:AS15=AS13)*(AO12:AO15&gt;AO13)*1),0)</f>
        <v>0</v>
      </c>
      <c r="AW13" s="189">
        <f t="shared" si="13"/>
        <v>1</v>
      </c>
      <c r="AX13" s="189">
        <v>0</v>
      </c>
      <c r="AY13" s="189">
        <v>0</v>
      </c>
      <c r="AZ13" s="189">
        <v>0</v>
      </c>
      <c r="BA13" s="189">
        <v>0</v>
      </c>
      <c r="BB13" s="189">
        <v>0</v>
      </c>
      <c r="BC13" s="189">
        <v>0</v>
      </c>
      <c r="BD13" s="189">
        <v>0</v>
      </c>
      <c r="BE13" s="189">
        <v>0</v>
      </c>
      <c r="BF13" s="189">
        <v>0</v>
      </c>
      <c r="BG13" s="189">
        <v>0</v>
      </c>
      <c r="BH13" s="189">
        <v>0</v>
      </c>
      <c r="BI13" s="189">
        <f t="shared" si="17"/>
        <v>1</v>
      </c>
      <c r="BJ13" s="189">
        <f>SUMPRODUCT((BI12:BI15=BI13)*(A12:A15&gt;A13)*1)</f>
        <v>3</v>
      </c>
      <c r="BK13" s="189">
        <f t="shared" si="14"/>
        <v>4</v>
      </c>
      <c r="BM13" s="200"/>
      <c r="BN13" s="201"/>
      <c r="BO13" s="191" t="str">
        <f>Calculator!C10</f>
        <v>United States</v>
      </c>
      <c r="BP13" s="191" t="s">
        <v>667</v>
      </c>
      <c r="BQ13" s="191"/>
      <c r="BR13" s="189">
        <v>7</v>
      </c>
      <c r="BS13" s="202">
        <v>-9</v>
      </c>
      <c r="BU13" s="22">
        <v>7</v>
      </c>
      <c r="BV13" s="193">
        <f t="shared" si="18"/>
        <v>44887.791666666664</v>
      </c>
      <c r="BW13" s="194">
        <v>44887.791666666664</v>
      </c>
      <c r="BX13" s="195">
        <f t="shared" si="19"/>
        <v>44887.791666666664</v>
      </c>
      <c r="BY13" s="189">
        <f>SUM(Matches!R11:R14)</f>
        <v>0</v>
      </c>
      <c r="BZ13" s="189" t="str">
        <f>INDEX(Language!$A$1:$K$117,MATCH(Setup!B14,Language!$B$1:$B$117,0),MATCH(Setup!$C$5,Language!$A$1:$J$1,0))</f>
        <v>United States</v>
      </c>
    </row>
    <row r="14" spans="1:78" x14ac:dyDescent="0.35">
      <c r="A14" s="189">
        <f>INDEX(M4:M35,MATCH(U14,C4:C35,0),0)</f>
        <v>1659</v>
      </c>
      <c r="B14" s="189">
        <f t="shared" si="25"/>
        <v>3</v>
      </c>
      <c r="C14" s="189" t="str">
        <f t="shared" si="1"/>
        <v>Mexico</v>
      </c>
      <c r="D14" s="189">
        <f t="shared" si="2"/>
        <v>0</v>
      </c>
      <c r="E14" s="189">
        <f>SUMPRODUCT((Matches!H5:H52&lt;&gt;"")*(Matches!F5:F52=C14)*(Matches!H5:H52&gt;Matches!I5:I52)*1)+SUMPRODUCT((Matches!H5:H52&lt;&gt;"")*(Matches!K5:K52=C14)*(Matches!I5:I52&gt;Matches!H5:H52)*1)</f>
        <v>0</v>
      </c>
      <c r="F14" s="189">
        <f>SUMPRODUCT((Matches!H5:H52&lt;&gt;"")*(Matches!F5:F52=C14)*(Matches!H5:H52=Matches!I5:I52)*1)+SUMPRODUCT((Matches!H5:H52&lt;&gt;"")*(Matches!K5:K52=C14)*(Matches!H5:H52=Matches!I5:I52)*1)</f>
        <v>0</v>
      </c>
      <c r="G14" s="189">
        <f>SUMPRODUCT((Matches!H5:H52&lt;&gt;"")*(Matches!F5:F52=C14)*(Matches!H5:H52&lt;Matches!I5:I52)*1)+SUMPRODUCT((Matches!H5:H52&lt;&gt;"")*(Matches!K5:K52=C14)*(Matches!I5:I52&lt;Matches!H5:H52)*1)</f>
        <v>0</v>
      </c>
      <c r="H14" s="189">
        <f>SUMIF(Matches!F5:F52,C14,Matches!H5:H52)+SUMIF(Matches!K5:K52,C14,Matches!I5:I52)</f>
        <v>0</v>
      </c>
      <c r="I14" s="189">
        <f>SUMIF(Matches!F5:F52,C14,Matches!I5:I52)+SUMIF(Matches!K5:K52,C14,Matches!H5:H52)</f>
        <v>0</v>
      </c>
      <c r="J14" s="189">
        <f t="shared" si="3"/>
        <v>0</v>
      </c>
      <c r="K14" s="189">
        <f t="shared" si="4"/>
        <v>0</v>
      </c>
      <c r="L14" s="189">
        <f>Setup!E18</f>
        <v>1659</v>
      </c>
      <c r="M14" s="189">
        <f>IF(Setup!F18&lt;&gt;"",Setup!F18,Setup!E18)</f>
        <v>1659</v>
      </c>
      <c r="N14" s="189">
        <f>RANK(K14,K12:K15)</f>
        <v>1</v>
      </c>
      <c r="O14" s="189">
        <f>SUMPRODUCT((N12:N15=N14)*(J12:J15&gt;J14)*1)</f>
        <v>0</v>
      </c>
      <c r="P14" s="189">
        <f t="shared" si="5"/>
        <v>1</v>
      </c>
      <c r="Q14" s="189">
        <f>SUMPRODUCT((N12:N15=N14)*(J12:J15=J14)*(H12:H15&gt;H14)*1)</f>
        <v>0</v>
      </c>
      <c r="R14" s="189">
        <f t="shared" si="6"/>
        <v>1</v>
      </c>
      <c r="S14" s="189">
        <f>RANK(R14,R12:R15,1)+COUNTIF(R12:R14,R14)-1</f>
        <v>3</v>
      </c>
      <c r="T14" s="189">
        <v>3</v>
      </c>
      <c r="U14" s="189" t="str">
        <f t="shared" ref="U14" si="76">INDEX(C12:C15,MATCH(T14,S12:S15,0),0)</f>
        <v>Mexico</v>
      </c>
      <c r="V14" s="189">
        <f>INDEX(R12:R15,MATCH(U14,C12:C15,0),0)</f>
        <v>1</v>
      </c>
      <c r="W14" s="189" t="str">
        <f t="shared" ref="W14:W15" si="77">IF(AND(W13&lt;&gt;"",V14=1),U14,"")</f>
        <v>Mexico</v>
      </c>
      <c r="X14" s="189" t="str">
        <f t="shared" ref="X14" si="78">IF(X13&lt;&gt;"",U14,"")</f>
        <v/>
      </c>
      <c r="Y14" s="189" t="str">
        <f t="shared" ref="Y14" si="79">IF(V15=3,U14,"")</f>
        <v/>
      </c>
      <c r="Z14" s="189">
        <f>SUMPRODUCT((Matches!F5:F52=W14)*(Matches!K5:K52=W12)*(Matches!H5:H52&gt;Matches!I5:I52)*1)+SUMPRODUCT((Matches!K5:K52=W14)*(Matches!F5:F52=W12)*(Matches!I5:I52&gt;Matches!H5:H52)*1)+SUMPRODUCT((Matches!F5:F52=W14)*(Matches!K5:K52=W13)*(Matches!H5:H52&gt;Matches!I5:I52)*1)+SUMPRODUCT((Matches!K5:K52=W14)*(Matches!F5:F52=W13)*(Matches!I5:I52&gt;Matches!H5:H52)*1)+SUMPRODUCT((Matches!F5:F52=W14)*(Matches!K5:K52=W15)*(Matches!H5:H52&gt;Matches!I5:I52)*1)+SUMPRODUCT((Matches!K5:K52=W14)*(Matches!F5:F52=W15)*(Matches!I5:I52&gt;Matches!H5:H52)*1)</f>
        <v>0</v>
      </c>
      <c r="AA14" s="189">
        <f>SUMPRODUCT((Matches!F5:F52=W14)*(Matches!K5:K52=W12)*(Matches!H5:H52=Matches!I5:I52)*1)+SUMPRODUCT((Matches!K5:K52=W14)*(Matches!F5:F52=W12)*(Matches!H5:H52=Matches!I5:I52)*1)+SUMPRODUCT((Matches!F5:F52=W14)*(Matches!K5:K52=W13)*(Matches!H5:H52=Matches!I5:I52)*1)+SUMPRODUCT((Matches!K5:K52=W14)*(Matches!F5:F52=W13)*(Matches!H5:H52=Matches!I5:I52)*1)+SUMPRODUCT((Matches!F5:F52=W14)*(Matches!K5:K52=W15)*(Matches!H5:H52=Matches!I5:I52)*1)+SUMPRODUCT((Matches!K5:K52=W14)*(Matches!F5:F52=W15)*(Matches!H5:H52=Matches!I5:I52)*1)</f>
        <v>3</v>
      </c>
      <c r="AB14" s="189">
        <f>SUMPRODUCT((Matches!F5:F52=W14)*(Matches!K5:K52=W12)*(Matches!H5:H52&lt;Matches!I5:I52)*1)+SUMPRODUCT((Matches!K5:K52=W14)*(Matches!F5:F52=W12)*(Matches!I5:I52&lt;Matches!H5:H52)*1)+SUMPRODUCT((Matches!F5:F52=W14)*(Matches!K5:K52=W13)*(Matches!H5:H52&lt;Matches!I5:I52)*1)+SUMPRODUCT((Matches!K5:K52=W14)*(Matches!F5:F52=W13)*(Matches!I5:I52&lt;Matches!H5:H52)*1)+SUMPRODUCT((Matches!F5:F52=W14)*(Matches!K5:K52=W15)*(Matches!H5:H52&lt;Matches!I5:I52)*1)+SUMPRODUCT((Matches!K5:K52=W14)*(Matches!F5:F52=W15)*(Matches!I5:I52&lt;Matches!H5:H52)*1)</f>
        <v>0</v>
      </c>
      <c r="AC14" s="189">
        <f>SUMIFS(Matches!H5:H52,Matches!F5:F52,W14,Matches!K5:K52,W12)+SUMIFS(Matches!H5:H52,Matches!F5:F52,W14,Matches!K5:K52,W13)+SUMIFS(Matches!H5:H52,Matches!F5:F52,W14,Matches!K5:K52,W15)+SUMIFS(Matches!I5:I52,Matches!K5:K52,W14,Matches!F5:F52,W12)+SUMIFS(Matches!I5:I52,Matches!K5:K52,W14,Matches!F5:F52,W13)+SUMIFS(Matches!I5:I52,Matches!K5:K52,W14,Matches!F5:F52,W15)</f>
        <v>0</v>
      </c>
      <c r="AD14" s="189">
        <f>SUMIFS(Matches!I5:I52,Matches!F5:F52,W14,Matches!K5:K52,W12)+SUMIFS(Matches!I5:I52,Matches!F5:F52,W14,Matches!K5:K52,W13)+SUMIFS(Matches!I5:I52,Matches!F5:F52,W14,Matches!K5:K52,W15)+SUMIFS(Matches!H5:H52,Matches!K5:K52,W14,Matches!F5:F52,W12)+SUMIFS(Matches!H5:H52,Matches!K5:K52,W14,Matches!F5:F52,W13)+SUMIFS(Matches!H5:H52,Matches!K5:K52,W14,Matches!F5:F52,W15)</f>
        <v>0</v>
      </c>
      <c r="AE14" s="189">
        <f t="shared" si="7"/>
        <v>0</v>
      </c>
      <c r="AF14" s="189">
        <f t="shared" si="8"/>
        <v>3</v>
      </c>
      <c r="AG14" s="189">
        <f t="shared" ref="AG14" si="80">IF(W14&lt;&gt;"",SUMPRODUCT((V12:V15=V14)*(AF12:AF15&gt;AF14)*1),0)</f>
        <v>0</v>
      </c>
      <c r="AH14" s="189">
        <f t="shared" ref="AH14" si="81">IF(W14&lt;&gt;"",SUMPRODUCT((AG12:AG15=AG14)*(AE12:AE15&gt;AE14)*1),0)</f>
        <v>0</v>
      </c>
      <c r="AI14" s="189">
        <f t="shared" si="0"/>
        <v>0</v>
      </c>
      <c r="AJ14" s="189">
        <f t="shared" ref="AJ14" si="82">IF(W14&lt;&gt;"",SUMPRODUCT((AI12:AI15=AI14)*(AG12:AG15=AG14)*(AC12:AC15&gt;AC14)*1),0)</f>
        <v>0</v>
      </c>
      <c r="AK14" s="189">
        <f t="shared" si="9"/>
        <v>1</v>
      </c>
      <c r="AL14" s="189">
        <f>SUMPRODUCT((Matches!F5:F52=X14)*(Matches!K5:K52=X13)*(Matches!H5:H52&gt;Matches!I5:I52)*1)+SUMPRODUCT((Matches!K5:K52=X14)*(Matches!F5:F52=X13)*(Matches!I5:I52&gt;Matches!H5:H52)*1)+SUMPRODUCT((Matches!F5:F52=X14)*(Matches!K5:K52=X15)*(Matches!H5:H52&gt;Matches!I5:I52)*1)+SUMPRODUCT((Matches!K5:K52=X14)*(Matches!F5:F52=X15)*(Matches!I5:I52&gt;Matches!H5:H52)*1)</f>
        <v>0</v>
      </c>
      <c r="AM14" s="189">
        <f>SUMPRODUCT((Matches!F5:F52=X14)*(Matches!K5:K52=X13)*(Matches!H5:H52=Matches!I5:I52)*1)+SUMPRODUCT((Matches!K5:K52=X14)*(Matches!F5:F52=X13)*(Matches!H5:H52=Matches!I5:I52)*1)+SUMPRODUCT((Matches!F5:F52=X14)*(Matches!K5:K52=X15)*(Matches!H5:H52=Matches!I5:I52)*1)+SUMPRODUCT((Matches!K5:K52=X14)*(Matches!F5:F52=X15)*(Matches!H5:H52=Matches!I5:I52)*1)</f>
        <v>0</v>
      </c>
      <c r="AN14" s="189">
        <f>SUMPRODUCT((Matches!F5:F52=X14)*(Matches!K5:K52=X13)*(Matches!H5:H52&lt;Matches!I5:I52)*1)+SUMPRODUCT((Matches!K5:K52=X14)*(Matches!F5:F52=X13)*(Matches!I5:I52&lt;Matches!H5:H52)*1)+SUMPRODUCT((Matches!F5:F52=X14)*(Matches!K5:K52=X15)*(Matches!H5:H52&lt;Matches!I5:I52)*1)+SUMPRODUCT((Matches!K5:K52=X14)*(Matches!F5:F52=X15)*(Matches!I5:I52&lt;Matches!H5:H52)*1)</f>
        <v>0</v>
      </c>
      <c r="AO14" s="189">
        <f>SUMIFS(Matches!H5:H52,Matches!F5:F52,X14,Matches!K5:K52,X13)+SUMIFS(Matches!H5:H52,Matches!F5:F52,X14,Matches!K5:K52,X15)+SUMIFS(Matches!I5:I52,Matches!K5:K52,X14,Matches!F5:F52,X13)+SUMIFS(Matches!I5:I52,Matches!K5:K52,X14,Matches!F5:F52,X15)</f>
        <v>0</v>
      </c>
      <c r="AP14" s="189">
        <f>SUMIFS(Matches!I5:I52,Matches!F5:F52,X14,Matches!K5:K52,X13)+SUMIFS(Matches!I5:I52,Matches!F5:F52,X14,Matches!K5:K52,X15)+SUMIFS(Matches!H5:H52,Matches!K5:K52,X14,Matches!F5:F52,X13)+SUMIFS(Matches!H5:H52,Matches!K5:K52,X14,Matches!F5:F52,X15)</f>
        <v>0</v>
      </c>
      <c r="AQ14" s="189">
        <f t="shared" si="10"/>
        <v>0</v>
      </c>
      <c r="AR14" s="189">
        <f t="shared" si="11"/>
        <v>0</v>
      </c>
      <c r="AS14" s="189">
        <f t="shared" ref="AS14" si="83">IF(X14&lt;&gt;"",SUMPRODUCT((V12:V15=V14)*(AR12:AR15&gt;AR14)*1),0)</f>
        <v>0</v>
      </c>
      <c r="AT14" s="189">
        <f t="shared" ref="AT14" si="84">IF(X14&lt;&gt;"",SUMPRODUCT((AS12:AS15=AS14)*(AQ12:AQ15&gt;AQ14)*1),0)</f>
        <v>0</v>
      </c>
      <c r="AU14" s="189">
        <f t="shared" si="12"/>
        <v>0</v>
      </c>
      <c r="AV14" s="189">
        <f t="shared" ref="AV14" si="85">IF(X14&lt;&gt;"",SUMPRODUCT((AU12:AU15=AU14)*(AS12:AS15=AS14)*(AO12:AO15&gt;AO14)*1),0)</f>
        <v>0</v>
      </c>
      <c r="AW14" s="189">
        <f t="shared" si="13"/>
        <v>1</v>
      </c>
      <c r="AX14" s="189">
        <f>SUMPRODUCT((Matches!F5:F52=Y14)*(Matches!K5:K52=Y15)*(Matches!H5:H52&gt;Matches!I5:I52)*1)+SUMPRODUCT((Matches!K5:K52=Y14)*(Matches!F5:F52=Y15)*(Matches!I5:I52&gt;Matches!H5:H52)*1)</f>
        <v>0</v>
      </c>
      <c r="AY14" s="189">
        <f>SUMPRODUCT((Matches!F5:F52=Y14)*(Matches!K5:K52=Y15)*(Matches!H5:H52=Matches!I5:I52)*1)+SUMPRODUCT((Matches!K5:K52=Y14)*(Matches!F5:F52=Y15)*(Matches!I5:I52=Matches!H5:H52)*1)</f>
        <v>0</v>
      </c>
      <c r="AZ14" s="189">
        <f>SUMPRODUCT((Matches!F5:F52=Y14)*(Matches!K5:K52=Y15)*(Matches!H5:H52&lt;Matches!I5:I52)*1)+SUMPRODUCT((Matches!K5:K52=Y14)*(Matches!F5:F52=Y15)*(Matches!I5:I52&lt;Matches!H5:H52)*1)</f>
        <v>0</v>
      </c>
      <c r="BA14" s="189">
        <f>SUMIFS(Matches!H5:H52,Matches!F5:F52,Y14,Matches!K5:K52,Y15)+SUMIFS(Matches!I5:I52,Matches!K5:K52,Y14,Matches!F5:F52,Y15)</f>
        <v>0</v>
      </c>
      <c r="BB14" s="189">
        <f>SUMIFS(Matches!I5:I52,Matches!F5:F52,Y14,Matches!K5:K52,Y15)+SUMIFS(Matches!H5:H52,Matches!K5:K52,Y14,Matches!F5:F52,Y15)</f>
        <v>0</v>
      </c>
      <c r="BC14" s="189">
        <f t="shared" ref="BC14:BC15" si="86">BA14-BB14</f>
        <v>0</v>
      </c>
      <c r="BD14" s="189">
        <f t="shared" ref="BD14:BD15" si="87">AY14*1+AX14*3</f>
        <v>0</v>
      </c>
      <c r="BE14" s="189">
        <f t="shared" ref="BE14" si="88">IF(Y14&lt;&gt;"",SUMPRODUCT((AH12:AH15=AH14)*(BD12:BD15&gt;BD14)*1),0)</f>
        <v>0</v>
      </c>
      <c r="BF14" s="189">
        <f t="shared" ref="BF14" si="89">IF(Y14&lt;&gt;"",SUMPRODUCT((BE12:BE15=BE14)*(BC12:BC15&gt;BC14)*1),0)</f>
        <v>0</v>
      </c>
      <c r="BG14" s="189">
        <f t="shared" ref="BG14:BG15" si="90">BE14+BF14</f>
        <v>0</v>
      </c>
      <c r="BH14" s="189">
        <f t="shared" ref="BH14" si="91">IF(Y14&lt;&gt;"",SUMPRODUCT((BG12:BG15=BG14)*(BE12:BE15=BE14)*(BA12:BA15&gt;BA14)*1),0)</f>
        <v>0</v>
      </c>
      <c r="BI14" s="189">
        <f t="shared" si="17"/>
        <v>1</v>
      </c>
      <c r="BJ14" s="189">
        <f>SUMPRODUCT((BI12:BI15=BI14)*(A12:A15&gt;A14)*1)</f>
        <v>1</v>
      </c>
      <c r="BK14" s="189">
        <f t="shared" si="14"/>
        <v>2</v>
      </c>
      <c r="BM14" s="200"/>
      <c r="BN14" s="201"/>
      <c r="BO14" s="191" t="str">
        <f>Calculator!C11</f>
        <v>Wales</v>
      </c>
      <c r="BP14" s="191" t="s">
        <v>668</v>
      </c>
      <c r="BQ14" s="191"/>
      <c r="BR14" s="189">
        <v>8</v>
      </c>
      <c r="BS14" s="202">
        <v>-8.5</v>
      </c>
      <c r="BU14" s="22">
        <v>8</v>
      </c>
      <c r="BV14" s="193">
        <f t="shared" si="18"/>
        <v>44887.916666666664</v>
      </c>
      <c r="BW14" s="194">
        <v>44887.916666666664</v>
      </c>
      <c r="BX14" s="195">
        <f t="shared" si="19"/>
        <v>44887.916666666664</v>
      </c>
      <c r="BZ14" s="189" t="str">
        <f>INDEX(Language!$A$1:$K$117,MATCH(Setup!B15,Language!$B$1:$B$117,0),MATCH(Setup!$C$5,Language!$A$1:$J$1,0))</f>
        <v>Wales</v>
      </c>
    </row>
    <row r="15" spans="1:78" ht="15.5" x14ac:dyDescent="0.35">
      <c r="A15" s="189">
        <f>INDEX(M4:M35,MATCH(U15,C4:C35,0),0)</f>
        <v>1544</v>
      </c>
      <c r="B15" s="189">
        <f t="shared" si="25"/>
        <v>4</v>
      </c>
      <c r="C15" s="189" t="str">
        <f t="shared" si="1"/>
        <v>Poland</v>
      </c>
      <c r="D15" s="189">
        <f t="shared" si="2"/>
        <v>0</v>
      </c>
      <c r="E15" s="189">
        <f>SUMPRODUCT((Matches!H5:H52&lt;&gt;"")*(Matches!F5:F52=C15)*(Matches!H5:H52&gt;Matches!I5:I52)*1)+SUMPRODUCT((Matches!H5:H52&lt;&gt;"")*(Matches!K5:K52=C15)*(Matches!I5:I52&gt;Matches!H5:H52)*1)</f>
        <v>0</v>
      </c>
      <c r="F15" s="189">
        <f>SUMPRODUCT((Matches!H5:H52&lt;&gt;"")*(Matches!F5:F52=C15)*(Matches!H5:H52=Matches!I5:I52)*1)+SUMPRODUCT((Matches!H5:H52&lt;&gt;"")*(Matches!K5:K52=C15)*(Matches!H5:H52=Matches!I5:I52)*1)</f>
        <v>0</v>
      </c>
      <c r="G15" s="189">
        <f>SUMPRODUCT((Matches!H5:H52&lt;&gt;"")*(Matches!F5:F52=C15)*(Matches!H5:H52&lt;Matches!I5:I52)*1)+SUMPRODUCT((Matches!H5:H52&lt;&gt;"")*(Matches!K5:K52=C15)*(Matches!I5:I52&lt;Matches!H5:H52)*1)</f>
        <v>0</v>
      </c>
      <c r="H15" s="189">
        <f>SUMIF(Matches!F5:F52,C15,Matches!H5:H52)+SUMIF(Matches!K5:K52,C15,Matches!I5:I52)</f>
        <v>0</v>
      </c>
      <c r="I15" s="189">
        <f>SUMIF(Matches!F5:F52,C15,Matches!I5:I52)+SUMIF(Matches!K5:K52,C15,Matches!H5:H52)</f>
        <v>0</v>
      </c>
      <c r="J15" s="189">
        <f t="shared" si="3"/>
        <v>0</v>
      </c>
      <c r="K15" s="189">
        <f t="shared" si="4"/>
        <v>0</v>
      </c>
      <c r="L15" s="189">
        <f>Setup!E19</f>
        <v>1544</v>
      </c>
      <c r="M15" s="189">
        <f>IF(Setup!F19&lt;&gt;"",Setup!F19,Setup!E19)</f>
        <v>1544</v>
      </c>
      <c r="N15" s="189">
        <f>RANK(K15,K12:K15)</f>
        <v>1</v>
      </c>
      <c r="O15" s="189">
        <f>SUMPRODUCT((N12:N15=N15)*(J12:J15&gt;J15)*1)</f>
        <v>0</v>
      </c>
      <c r="P15" s="189">
        <f t="shared" si="5"/>
        <v>1</v>
      </c>
      <c r="Q15" s="189">
        <f>SUMPRODUCT((N12:N15=N15)*(J12:J15=J15)*(H12:H15&gt;H15)*1)</f>
        <v>0</v>
      </c>
      <c r="R15" s="189">
        <f t="shared" si="6"/>
        <v>1</v>
      </c>
      <c r="S15" s="189">
        <f>RANK(R15,R12:R15,1)+COUNTIF(R12:R15,R15)-1</f>
        <v>4</v>
      </c>
      <c r="T15" s="189">
        <v>4</v>
      </c>
      <c r="U15" s="189" t="str">
        <f t="shared" ref="U15" si="92">INDEX(C12:C15,MATCH(T15,S12:S15,0),0)</f>
        <v>Poland</v>
      </c>
      <c r="V15" s="189">
        <f>INDEX(R12:R15,MATCH(U15,C12:C15,0),0)</f>
        <v>1</v>
      </c>
      <c r="W15" s="189" t="str">
        <f t="shared" si="77"/>
        <v>Poland</v>
      </c>
      <c r="X15" s="189" t="str">
        <f t="shared" ref="X15" si="93">IF(AND(X14&lt;&gt;"",V15=2),U15,"")</f>
        <v/>
      </c>
      <c r="Y15" s="189" t="str">
        <f t="shared" ref="Y15" si="94">IF(AND(Y14&lt;&gt;"",V15=3),U15,"")</f>
        <v/>
      </c>
      <c r="Z15" s="189">
        <f>SUMPRODUCT((Matches!F5:F52=W15)*(Matches!K5:K52=W12)*(Matches!H5:H52&gt;Matches!I5:I52)*1)+SUMPRODUCT((Matches!K5:K52=W15)*(Matches!F5:F52=W12)*(Matches!I5:I52&gt;Matches!H5:H52)*1)+SUMPRODUCT((Matches!F5:F52=W15)*(Matches!K5:K52=W13)*(Matches!H5:H52&gt;Matches!I5:I52)*1)+SUMPRODUCT((Matches!K5:K52=W15)*(Matches!F5:F52=W13)*(Matches!I5:I52&gt;Matches!H5:H52)*1)+SUMPRODUCT((Matches!F5:F52=W15)*(Matches!K5:K52=W14)*(Matches!H5:H52&gt;Matches!I5:I52)*1)+SUMPRODUCT((Matches!K5:K52=W15)*(Matches!F5:F52=W14)*(Matches!I5:I52&gt;Matches!H5:H52)*1)</f>
        <v>0</v>
      </c>
      <c r="AA15" s="189">
        <f>SUMPRODUCT((Matches!F5:F52=W15)*(Matches!K5:K52=W12)*(Matches!H5:H52&gt;=Matches!I5:I52)*1)+SUMPRODUCT((Matches!K5:K52=W15)*(Matches!F5:F52=W12)*(Matches!H5:H52=Matches!I5:I52)*1)+SUMPRODUCT((Matches!F5:F52=W15)*(Matches!K5:K52=W13)*(Matches!H5:H52=Matches!I5:I52)*1)+SUMPRODUCT((Matches!K5:K52=W15)*(Matches!F5:F52=W13)*(Matches!H5:H52=Matches!I5:I52)*1)+SUMPRODUCT((Matches!F5:F52=W15)*(Matches!K5:K52=W14)*(Matches!H5:H52=Matches!I5:I52)*1)+SUMPRODUCT((Matches!K5:K52=W15)*(Matches!F5:F52=W14)*(Matches!H5:H52=Matches!I5:I52)*1)</f>
        <v>3</v>
      </c>
      <c r="AB15" s="189">
        <f>SUMPRODUCT((Matches!F5:F52=W15)*(Matches!K5:K52=W12)*(Matches!H5:H52&lt;Matches!I5:I52)*1)+SUMPRODUCT((Matches!K5:K52=W15)*(Matches!F5:F52=W12)*(Matches!I5:I52&lt;Matches!H5:H52)*1)+SUMPRODUCT((Matches!F5:F52=W15)*(Matches!K5:K52=W13)*(Matches!H5:H52&lt;Matches!I5:I52)*1)+SUMPRODUCT((Matches!K5:K52=W15)*(Matches!F5:F52=W13)*(Matches!I5:I52&lt;Matches!H5:H52)*1)+SUMPRODUCT((Matches!F5:F52=W15)*(Matches!K5:K52=W14)*(Matches!H5:H52&lt;Matches!I5:I52)*1)+SUMPRODUCT((Matches!K5:K52=W15)*(Matches!F5:F52=W14)*(Matches!I5:I52&lt;Matches!H5:H52)*1)</f>
        <v>0</v>
      </c>
      <c r="AC15" s="189">
        <f>SUMIFS(Matches!H5:H52,Matches!F5:F52,W15,Matches!K5:K52,W12)+SUMIFS(Matches!H5:H52,Matches!F5:F52,W15,Matches!K5:K52,W13)+SUMIFS(Matches!H5:H52,Matches!F5:F52,W15,Matches!K5:K52,W14)+SUMIFS(Matches!I5:I52,Matches!K5:K52,W15,Matches!F5:F52,W12)+SUMIFS(Matches!I5:I52,Matches!K5:K52,W15,Matches!F5:F52,W13)+SUMIFS(Matches!I5:I52,Matches!K5:K52,W15,Matches!F5:F52,W14)</f>
        <v>0</v>
      </c>
      <c r="AD15" s="189">
        <f>SUMIFS(Matches!I5:I52,Matches!F5:F52,W15,Matches!K5:K52,W12)+SUMIFS(Matches!I5:I52,Matches!F5:F52,W15,Matches!K5:K52,W13)+SUMIFS(Matches!I5:I52,Matches!F5:F52,W15,Matches!K5:K52,W14)+SUMIFS(Matches!H5:H52,Matches!K5:K52,W15,Matches!F5:F52,W12)+SUMIFS(Matches!H5:H52,Matches!K5:K52,W15,Matches!F5:F52,W13)+SUMIFS(Matches!H5:H52,Matches!K5:K52,W15,Matches!F5:F52,W14)</f>
        <v>0</v>
      </c>
      <c r="AE15" s="189">
        <f t="shared" si="7"/>
        <v>0</v>
      </c>
      <c r="AF15" s="189">
        <f t="shared" si="8"/>
        <v>3</v>
      </c>
      <c r="AG15" s="189">
        <f t="shared" ref="AG15" si="95">IF(W15&lt;&gt;"",SUMPRODUCT((V12:V15=V15)*(AF12:AF15&gt;AF15)*1),0)</f>
        <v>0</v>
      </c>
      <c r="AH15" s="189">
        <f t="shared" ref="AH15" si="96">IF(W15&lt;&gt;"",SUMPRODUCT((AG12:AG15=AG15)*(AE12:AE15&gt;AE15)*1),0)</f>
        <v>0</v>
      </c>
      <c r="AI15" s="189">
        <f t="shared" si="0"/>
        <v>0</v>
      </c>
      <c r="AJ15" s="189">
        <f t="shared" ref="AJ15" si="97">IF(W15&lt;&gt;"",SUMPRODUCT((AI12:AI15=AI15)*(AG12:AG15=AG15)*(AC12:AC15&gt;AC15)*1),0)</f>
        <v>0</v>
      </c>
      <c r="AK15" s="189">
        <f t="shared" si="9"/>
        <v>1</v>
      </c>
      <c r="AL15" s="189">
        <f>SUMPRODUCT((Matches!F5:F52=X15)*(Matches!K5:K52=X13)*(Matches!H5:H52&gt;Matches!I5:I52)*1)+SUMPRODUCT((Matches!K5:K52=X15)*(Matches!F5:F52=X13)*(Matches!I5:I52&gt;Matches!H5:H52)*1)+SUMPRODUCT((Matches!F5:F52=X15)*(Matches!K5:K52=X14)*(Matches!H5:H52&gt;Matches!I5:I52)*1)+SUMPRODUCT((Matches!K5:K52=X15)*(Matches!F5:F52=X14)*(Matches!I5:I52&gt;Matches!H5:H52)*1)</f>
        <v>0</v>
      </c>
      <c r="AM15" s="189">
        <f>SUMPRODUCT((Matches!F5:F52=X15)*(Matches!K5:K52=X13)*(Matches!H5:H52=Matches!I5:I52)*1)+SUMPRODUCT((Matches!K5:K52=X15)*(Matches!F5:F52=X13)*(Matches!H5:H52=Matches!I5:I52)*1)+SUMPRODUCT((Matches!F5:F52=X15)*(Matches!K5:K52=X14)*(Matches!H5:H52=Matches!I5:I52)*1)+SUMPRODUCT((Matches!K5:K52=X15)*(Matches!F5:F52=X14)*(Matches!H5:H52=Matches!I5:I52)*1)</f>
        <v>0</v>
      </c>
      <c r="AN15" s="189">
        <f>SUMPRODUCT((Matches!F5:F52=X15)*(Matches!K5:K52=X13)*(Matches!H5:H52&lt;Matches!I5:I52)*1)+SUMPRODUCT((Matches!K5:K52=X15)*(Matches!F5:F52=X13)*(Matches!I5:I52&lt;Matches!H5:H52)*1)+SUMPRODUCT((Matches!F5:F52=X15)*(Matches!K5:K52=X14)*(Matches!H5:H52&lt;Matches!I5:I52)*1)+SUMPRODUCT((Matches!K5:K52=X15)*(Matches!F5:F52=X14)*(Matches!I5:I52&lt;Matches!H5:H52)*1)</f>
        <v>0</v>
      </c>
      <c r="AO15" s="189">
        <f>SUMIFS(Matches!H5:H52,Matches!F5:F52,X15,Matches!K5:K52,X13)+SUMIFS(Matches!H5:H52,Matches!F5:F52,X15,Matches!K5:K52,X14)+SUMIFS(Matches!I5:I52,Matches!K5:K52,X15,Matches!F5:F52,X13)+SUMIFS(Matches!I5:I52,Matches!K5:K52,X15,Matches!F5:F52,X14)</f>
        <v>0</v>
      </c>
      <c r="AP15" s="189">
        <f>SUMIFS(Matches!H5:H52,Matches!F5:F52,X15,Matches!K5:K52,X13)+SUMIFS(Matches!H5:H52,Matches!F5:F52,X15,Matches!K5:K52,X14)+SUMIFS(Matches!I5:I52,Matches!K5:K52,X15,Matches!F5:F52,X13)+SUMIFS(Matches!I5:I52,Matches!K5:K52,X15,Matches!F5:F52,X14)</f>
        <v>0</v>
      </c>
      <c r="AQ15" s="189">
        <f t="shared" si="10"/>
        <v>0</v>
      </c>
      <c r="AR15" s="189">
        <f t="shared" si="11"/>
        <v>0</v>
      </c>
      <c r="AS15" s="189">
        <f t="shared" ref="AS15" si="98">IF(X15&lt;&gt;"",SUMPRODUCT((V12:V15=V15)*(AR12:AR15&gt;AR15)*1),0)</f>
        <v>0</v>
      </c>
      <c r="AT15" s="189">
        <f t="shared" ref="AT15" si="99">IF(X15&lt;&gt;"",SUMPRODUCT((AS12:AS15=AS15)*(AQ12:AQ15&gt;AQ15)*1),0)</f>
        <v>0</v>
      </c>
      <c r="AU15" s="189">
        <f t="shared" si="12"/>
        <v>0</v>
      </c>
      <c r="AV15" s="189">
        <f t="shared" ref="AV15" si="100">IF(X15&lt;&gt;"",SUMPRODUCT((AU12:AU15=AU15)*(AS12:AS15=AS15)*(AO12:AO15&gt;AO15)*1),0)</f>
        <v>0</v>
      </c>
      <c r="AW15" s="189">
        <f t="shared" si="13"/>
        <v>1</v>
      </c>
      <c r="AX15" s="189">
        <f>SUMPRODUCT((Matches!F5:F52=Y15)*(Matches!K5:K52=Y14)*(Matches!H5:H52&gt;Matches!I5:I52)*1)+SUMPRODUCT((Matches!K5:K52=Y15)*(Matches!F5:F52=Y14)*(Matches!I5:I52&gt;Matches!H5:H52)*1)</f>
        <v>0</v>
      </c>
      <c r="AY15" s="189">
        <f>SUMPRODUCT((Matches!F5:F52=Y15)*(Matches!K5:K52=Y14)*(Matches!H5:H52=Matches!I5:I52)*1)+SUMPRODUCT((Matches!K5:K52=Y15)*(Matches!F5:F52=Y14)*(Matches!I5:I52=Matches!H5:H52)*1)</f>
        <v>0</v>
      </c>
      <c r="AZ15" s="189">
        <f>SUMPRODUCT((Matches!F5:F52=Y15)*(Matches!K5:K52=Y14)*(Matches!H5:H52&lt;Matches!I5:I52)*1)+SUMPRODUCT((Matches!K5:K52=Y15)*(Matches!F5:F52=Y14)*(Matches!I5:I52&lt;Matches!H5:H52)*1)</f>
        <v>0</v>
      </c>
      <c r="BA15" s="189">
        <f>SUMIFS(Matches!H5:H52,Matches!F5:F52,Y15,Matches!K5:K52,Y14)+SUMIFS(Matches!I5:I52,Matches!K5:K52,Y15,Matches!F5:F52,Y14)</f>
        <v>0</v>
      </c>
      <c r="BB15" s="189">
        <f>SUMIFS(Matches!H5:H52,Matches!F5:F52,Y15,Matches!K5:K52,Y14)+SUMIFS(Matches!I5:I52,Matches!K5:K52,Y15,Matches!F5:F52,Y14)</f>
        <v>0</v>
      </c>
      <c r="BC15" s="189">
        <f t="shared" si="86"/>
        <v>0</v>
      </c>
      <c r="BD15" s="189">
        <f t="shared" si="87"/>
        <v>0</v>
      </c>
      <c r="BE15" s="189">
        <f t="shared" ref="BE15" si="101">IF(Y15&lt;&gt;"",SUMPRODUCT((AH12:AH15=AH15)*(BD12:BD15&gt;BD15)*1),0)</f>
        <v>0</v>
      </c>
      <c r="BF15" s="189">
        <f t="shared" ref="BF15" si="102">IF(Y15&lt;&gt;"",SUMPRODUCT((BE12:BE15=BE15)*(BC12:BC15&gt;BC15)*1),0)</f>
        <v>0</v>
      </c>
      <c r="BG15" s="189">
        <f t="shared" si="90"/>
        <v>0</v>
      </c>
      <c r="BH15" s="189">
        <f t="shared" ref="BH15" si="103">IF(Y15&lt;&gt;"",SUMPRODUCT((BG12:BG15=BG15)*(BE12:BE15=BE15)*(BA12:BA15&gt;BA15)*1),0)</f>
        <v>0</v>
      </c>
      <c r="BI15" s="189">
        <f t="shared" si="17"/>
        <v>1</v>
      </c>
      <c r="BJ15" s="189">
        <f>SUMPRODUCT((BI12:BI15=BI15)*(A12:A15&gt;A15)*1)</f>
        <v>2</v>
      </c>
      <c r="BK15" s="189">
        <f t="shared" si="14"/>
        <v>3</v>
      </c>
      <c r="BM15" s="200" t="s">
        <v>129</v>
      </c>
      <c r="BN15" s="201"/>
      <c r="BO15" s="191" t="str">
        <f>Calculator!C12</f>
        <v>Argentina</v>
      </c>
      <c r="BP15" s="191" t="s">
        <v>669</v>
      </c>
      <c r="BQ15" s="191"/>
      <c r="BR15" s="189">
        <v>9</v>
      </c>
      <c r="BS15" s="202">
        <v>-8</v>
      </c>
      <c r="BU15" s="22">
        <v>9</v>
      </c>
      <c r="BV15" s="193">
        <f t="shared" si="18"/>
        <v>44888.541666666664</v>
      </c>
      <c r="BW15" s="194">
        <v>44888.541666666664</v>
      </c>
      <c r="BX15" s="195">
        <f t="shared" si="19"/>
        <v>44888.541666666664</v>
      </c>
      <c r="BZ15" s="189" t="str">
        <f>INDEX(Language!$A$1:$K$117,MATCH(Setup!B16,Language!$B$1:$B$117,0),MATCH(Setup!$C$5,Language!$A$1:$J$1,0))</f>
        <v>Argentina</v>
      </c>
    </row>
    <row r="16" spans="1:78" x14ac:dyDescent="0.35">
      <c r="A16" s="189">
        <f>INDEX(M4:M35,MATCH(U16,C4:C35,0),0)</f>
        <v>1654</v>
      </c>
      <c r="B16" s="189">
        <f t="shared" si="25"/>
        <v>1</v>
      </c>
      <c r="C16" s="189" t="str">
        <f t="shared" si="1"/>
        <v>Denmark</v>
      </c>
      <c r="D16" s="189">
        <f t="shared" si="2"/>
        <v>0</v>
      </c>
      <c r="E16" s="189">
        <f>SUMPRODUCT((Matches!H5:H52&lt;&gt;"")*(Matches!F5:F52=C16)*(Matches!H5:H52&gt;Matches!I5:I52)*1)+SUMPRODUCT((Matches!H5:H52&lt;&gt;"")*(Matches!K5:K52=C16)*(Matches!I5:I52&gt;Matches!H5:H52)*1)</f>
        <v>0</v>
      </c>
      <c r="F16" s="189">
        <f>SUMPRODUCT((Matches!H5:H52&lt;&gt;"")*(Matches!F5:F52=C16)*(Matches!H5:H52=Matches!I5:I52)*1)+SUMPRODUCT((Matches!H5:H52&lt;&gt;"")*(Matches!K5:K52=C16)*(Matches!H5:H52=Matches!I5:I52)*1)</f>
        <v>0</v>
      </c>
      <c r="G16" s="189">
        <f>SUMPRODUCT((Matches!H5:H52&lt;&gt;"")*(Matches!F5:F52=C16)*(Matches!H5:H52&lt;Matches!I5:I52)*1)+SUMPRODUCT((Matches!H5:H52&lt;&gt;"")*(Matches!K5:K52=C16)*(Matches!I5:I52&lt;Matches!H5:H52)*1)</f>
        <v>0</v>
      </c>
      <c r="H16" s="189">
        <f>SUMIF(Matches!F5:F52,C16,Matches!H5:H52)+SUMIF(Matches!K5:K52,C16,Matches!I5:I52)</f>
        <v>0</v>
      </c>
      <c r="I16" s="189">
        <f>SUMIF(Matches!F5:F52,C16,Matches!I5:I52)+SUMIF(Matches!K5:K52,C16,Matches!H5:H52)</f>
        <v>0</v>
      </c>
      <c r="J16" s="189">
        <f t="shared" si="3"/>
        <v>0</v>
      </c>
      <c r="K16" s="189">
        <f t="shared" si="4"/>
        <v>0</v>
      </c>
      <c r="L16" s="189">
        <f>Setup!E20</f>
        <v>1654</v>
      </c>
      <c r="M16" s="189">
        <f>IF(Setup!F20&lt;&gt;"",Setup!F20,Setup!E20)</f>
        <v>1654</v>
      </c>
      <c r="N16" s="189">
        <f>RANK(K16,K16:K19)</f>
        <v>1</v>
      </c>
      <c r="O16" s="189">
        <f>SUMPRODUCT((N16:N19=N16)*(J16:J19&gt;J16)*1)</f>
        <v>0</v>
      </c>
      <c r="P16" s="189">
        <f t="shared" si="5"/>
        <v>1</v>
      </c>
      <c r="Q16" s="189">
        <f>SUMPRODUCT((N16:N19=N16)*(J16:J19=J16)*(H16:H19&gt;H16)*1)</f>
        <v>0</v>
      </c>
      <c r="R16" s="189">
        <f t="shared" si="6"/>
        <v>1</v>
      </c>
      <c r="S16" s="189">
        <f>RANK(R16,R16:R19,1)+COUNTIF(R16:R16,R16)-1</f>
        <v>1</v>
      </c>
      <c r="T16" s="189">
        <v>1</v>
      </c>
      <c r="U16" s="189" t="str">
        <f t="shared" ref="U16" si="104">INDEX(C16:C19,MATCH(T16,S16:S19,0),0)</f>
        <v>Denmark</v>
      </c>
      <c r="V16" s="189">
        <f>INDEX(R16:R19,MATCH(U16,C16:C19,0),0)</f>
        <v>1</v>
      </c>
      <c r="W16" s="189" t="str">
        <f t="shared" ref="W16" si="105">IF(V17=1,U16,"")</f>
        <v>Denmark</v>
      </c>
      <c r="Z16" s="189">
        <f>SUMPRODUCT((Matches!F5:F52=W16)*(Matches!K5:K52=W17)*(Matches!H5:H52&gt;Matches!I5:I52)*1)+SUMPRODUCT((Matches!K5:K52=W16)*(Matches!F5:F52=W17)*(Matches!I5:I52&gt;Matches!H5:H52)*1)+SUMPRODUCT((Matches!F5:F52=W16)*(Matches!K5:K52=W18)*(Matches!H5:H52&gt;Matches!I5:I52)*1)+SUMPRODUCT((Matches!K5:K52=W16)*(Matches!F5:F52=W18)*(Matches!I5:I52&gt;Matches!H5:H52)*1)+SUMPRODUCT((Matches!F5:F52=W16)*(Matches!K5:K52=W19)*(Matches!H5:H52&gt;Matches!I5:I52)*1)+SUMPRODUCT((Matches!K5:K52=W16)*(Matches!F5:F52=W19)*(Matches!I5:I52&gt;Matches!H5:H52)*1)</f>
        <v>0</v>
      </c>
      <c r="AA16" s="189">
        <f>SUMPRODUCT((Matches!F5:F52=W16)*(Matches!K5:K52=W17)*(Matches!H5:H52=Matches!I5:I52)*1)+SUMPRODUCT((Matches!K5:K52=W16)*(Matches!F5:F52=W17)*(Matches!H5:H52=Matches!I5:I52)*1)+SUMPRODUCT((Matches!F5:F52=W16)*(Matches!K5:K52=W18)*(Matches!H5:H52=Matches!I5:I52)*1)+SUMPRODUCT((Matches!K5:K52=W16)*(Matches!F5:F52=W18)*(Matches!H5:H52=Matches!I5:I52)*1)+SUMPRODUCT((Matches!F5:F52=W16)*(Matches!K5:K52=W19)*(Matches!H5:H52=Matches!I5:I52)*1)+SUMPRODUCT((Matches!K5:K52=W16)*(Matches!F5:F52=W19)*(Matches!H5:H52=Matches!I5:I52)*1)</f>
        <v>3</v>
      </c>
      <c r="AB16" s="189">
        <f>SUMPRODUCT((Matches!F5:F52=W16)*(Matches!K5:K52=W17)*(Matches!H5:H52&lt;Matches!I5:I52)*1)+SUMPRODUCT((Matches!K5:K52=W16)*(Matches!F5:F52=W17)*(Matches!I5:I52&lt;Matches!H5:H52)*1)+SUMPRODUCT((Matches!F5:F52=W16)*(Matches!K5:K52=W18)*(Matches!H5:H52&lt;Matches!I5:I52)*1)+SUMPRODUCT((Matches!K5:K52=W16)*(Matches!F5:F52=W18)*(Matches!I5:I52&lt;Matches!H5:H52)*1)+SUMPRODUCT((Matches!F5:F52=W16)*(Matches!K5:K52=W19)*(Matches!H5:H52&lt;Matches!I5:I52)*1)+SUMPRODUCT((Matches!K5:K52=W16)*(Matches!F5:F52=W19)*(Matches!I5:I52&lt;Matches!H5:H52)*1)</f>
        <v>0</v>
      </c>
      <c r="AC16" s="189">
        <f>SUMIFS(Matches!H5:H52,Matches!F5:F52,W16,Matches!K5:K52,W17)+SUMIFS(Matches!H5:H52,Matches!F5:F52,W16,Matches!K5:K52,W18)+SUMIFS(Matches!H5:H52,Matches!F5:F52,W16,Matches!K5:K52,W19)+SUMIFS(Matches!I5:I52,Matches!K5:K52,W16,Matches!F5:F52,W17)+SUMIFS(Matches!I5:I52,Matches!K5:K52,W16,Matches!F5:F52,W18)+SUMIFS(Matches!I5:I52,Matches!K5:K52,W16,Matches!F5:F52,W19)</f>
        <v>0</v>
      </c>
      <c r="AD16" s="189">
        <f>SUMIFS(Matches!I5:I52,Matches!F5:F52,W16,Matches!K5:K52,W17)+SUMIFS(Matches!I5:I52,Matches!F5:F52,W16,Matches!K5:K52,W18)+SUMIFS(Matches!I5:I52,Matches!F5:F52,W16,Matches!K5:K52,W19)+SUMIFS(Matches!H5:H52,Matches!K5:K52,W16,Matches!F5:F52,W17)+SUMIFS(Matches!H5:H52,Matches!K5:K52,W16,Matches!F5:F52,W18)+SUMIFS(Matches!H5:H52,Matches!K5:K52,W16,Matches!F5:F52,W19)</f>
        <v>0</v>
      </c>
      <c r="AE16" s="189">
        <f t="shared" si="7"/>
        <v>0</v>
      </c>
      <c r="AF16" s="189">
        <f t="shared" si="8"/>
        <v>3</v>
      </c>
      <c r="AG16" s="189">
        <f t="shared" ref="AG16" si="106">IF(W16&lt;&gt;"",SUMPRODUCT((V16:V19=V16)*(AF16:AF19&gt;AF16)*1),0)</f>
        <v>0</v>
      </c>
      <c r="AH16" s="189">
        <f t="shared" ref="AH16" si="107">IF(W16&lt;&gt;"",SUMPRODUCT((AG16:AG19=AG16)*(AE16:AE19&gt;AE16)*1),0)</f>
        <v>0</v>
      </c>
      <c r="AI16" s="189">
        <f t="shared" si="0"/>
        <v>0</v>
      </c>
      <c r="AJ16" s="189">
        <f t="shared" ref="AJ16" si="108">IF(W16&lt;&gt;"",SUMPRODUCT((AI16:AI19=AI16)*(AG16:AG19=AG16)*(AC16:AC19&gt;AC16)*1),0)</f>
        <v>0</v>
      </c>
      <c r="AK16" s="189">
        <f t="shared" si="9"/>
        <v>1</v>
      </c>
      <c r="AL16" s="189">
        <v>0</v>
      </c>
      <c r="AM16" s="189">
        <v>0</v>
      </c>
      <c r="AN16" s="189">
        <v>0</v>
      </c>
      <c r="AO16" s="189">
        <v>0</v>
      </c>
      <c r="AP16" s="189">
        <v>0</v>
      </c>
      <c r="AQ16" s="189">
        <f t="shared" si="10"/>
        <v>0</v>
      </c>
      <c r="AR16" s="189">
        <f t="shared" si="11"/>
        <v>0</v>
      </c>
      <c r="AS16" s="189">
        <v>0</v>
      </c>
      <c r="AT16" s="189">
        <v>0</v>
      </c>
      <c r="AU16" s="189">
        <f t="shared" si="12"/>
        <v>0</v>
      </c>
      <c r="AV16" s="189">
        <v>0</v>
      </c>
      <c r="AW16" s="189">
        <f t="shared" si="13"/>
        <v>1</v>
      </c>
      <c r="AX16" s="189">
        <v>0</v>
      </c>
      <c r="AY16" s="189">
        <v>0</v>
      </c>
      <c r="AZ16" s="189">
        <v>0</v>
      </c>
      <c r="BA16" s="189">
        <v>0</v>
      </c>
      <c r="BB16" s="189">
        <v>0</v>
      </c>
      <c r="BC16" s="189">
        <v>0</v>
      </c>
      <c r="BD16" s="189">
        <v>0</v>
      </c>
      <c r="BE16" s="189">
        <v>0</v>
      </c>
      <c r="BF16" s="189">
        <v>0</v>
      </c>
      <c r="BG16" s="189">
        <v>0</v>
      </c>
      <c r="BH16" s="189">
        <v>0</v>
      </c>
      <c r="BI16" s="189">
        <f t="shared" si="17"/>
        <v>1</v>
      </c>
      <c r="BJ16" s="189">
        <f>SUMPRODUCT((BI16:BI19=BI16)*(A16:A19&gt;A16)*1)</f>
        <v>1</v>
      </c>
      <c r="BK16" s="189">
        <f t="shared" si="14"/>
        <v>2</v>
      </c>
      <c r="BM16" s="200"/>
      <c r="BN16" s="201"/>
      <c r="BO16" s="191" t="str">
        <f>Calculator!C13</f>
        <v>Saudi Arabia</v>
      </c>
      <c r="BP16" s="191" t="s">
        <v>670</v>
      </c>
      <c r="BQ16" s="191"/>
      <c r="BR16" s="189">
        <v>10</v>
      </c>
      <c r="BS16" s="202">
        <v>-7.5</v>
      </c>
      <c r="BU16" s="22">
        <v>10</v>
      </c>
      <c r="BV16" s="193">
        <f t="shared" si="18"/>
        <v>44888.666666666664</v>
      </c>
      <c r="BW16" s="194">
        <v>44888.666666666664</v>
      </c>
      <c r="BX16" s="195">
        <f t="shared" si="19"/>
        <v>44888.666666666664</v>
      </c>
      <c r="BZ16" s="189" t="str">
        <f>INDEX(Language!$A$1:$K$117,MATCH(Setup!B17,Language!$B$1:$B$117,0),MATCH(Setup!$C$5,Language!$A$1:$J$1,0))</f>
        <v>Saudi Arabia</v>
      </c>
    </row>
    <row r="17" spans="1:78" x14ac:dyDescent="0.35">
      <c r="A17" s="189">
        <f>INDEX(M4:M35,MATCH(U17,C4:C35,0),0)</f>
        <v>1500</v>
      </c>
      <c r="B17" s="189">
        <f t="shared" si="25"/>
        <v>2</v>
      </c>
      <c r="C17" s="189" t="str">
        <f t="shared" si="1"/>
        <v>Tunisia</v>
      </c>
      <c r="D17" s="189">
        <f t="shared" si="2"/>
        <v>0</v>
      </c>
      <c r="E17" s="189">
        <f>SUMPRODUCT((Matches!H5:H52&lt;&gt;"")*(Matches!F5:F52=C17)*(Matches!H5:H52&gt;Matches!I5:I52)*1)+SUMPRODUCT((Matches!H5:H52&lt;&gt;"")*(Matches!K5:K52=C17)*(Matches!I5:I52&gt;Matches!H5:H52)*1)</f>
        <v>0</v>
      </c>
      <c r="F17" s="189">
        <f>SUMPRODUCT((Matches!H5:H52&lt;&gt;"")*(Matches!F5:F52=C17)*(Matches!H5:H52=Matches!I5:I52)*1)+SUMPRODUCT((Matches!H5:H52&lt;&gt;"")*(Matches!K5:K52=C17)*(Matches!H5:H52=Matches!I5:I52)*1)</f>
        <v>0</v>
      </c>
      <c r="G17" s="189">
        <f>SUMPRODUCT((Matches!H5:H52&lt;&gt;"")*(Matches!F5:F52=C17)*(Matches!H5:H52&lt;Matches!I5:I52)*1)+SUMPRODUCT((Matches!H5:H52&lt;&gt;"")*(Matches!K5:K52=C17)*(Matches!I5:I52&lt;Matches!H5:H52)*1)</f>
        <v>0</v>
      </c>
      <c r="H17" s="189">
        <f>SUMIF(Matches!F5:F52,C17,Matches!H5:H52)+SUMIF(Matches!K5:K52,C17,Matches!I5:I52)</f>
        <v>0</v>
      </c>
      <c r="I17" s="189">
        <f>SUMIF(Matches!F5:F52,C17,Matches!I5:I52)+SUMIF(Matches!K5:K52,C17,Matches!H5:H52)</f>
        <v>0</v>
      </c>
      <c r="J17" s="189">
        <f t="shared" si="3"/>
        <v>0</v>
      </c>
      <c r="K17" s="189">
        <f t="shared" si="4"/>
        <v>0</v>
      </c>
      <c r="L17" s="189">
        <f>Setup!E21</f>
        <v>1500</v>
      </c>
      <c r="M17" s="189">
        <f>IF(Setup!F21&lt;&gt;"",Setup!F21,Setup!E21)</f>
        <v>1500</v>
      </c>
      <c r="N17" s="189">
        <f>RANK(K17,K16:K19)</f>
        <v>1</v>
      </c>
      <c r="O17" s="189">
        <f>SUMPRODUCT((N16:N19=N17)*(J16:J19&gt;J17)*1)</f>
        <v>0</v>
      </c>
      <c r="P17" s="189">
        <f t="shared" si="5"/>
        <v>1</v>
      </c>
      <c r="Q17" s="189">
        <f>SUMPRODUCT((N16:N19=N17)*(J16:J19=J17)*(H16:H19&gt;H17)*1)</f>
        <v>0</v>
      </c>
      <c r="R17" s="189">
        <f t="shared" si="6"/>
        <v>1</v>
      </c>
      <c r="S17" s="189">
        <f>RANK(R17,R16:R19,1)+COUNTIF(R16:R17,R17)-1</f>
        <v>2</v>
      </c>
      <c r="T17" s="189">
        <v>2</v>
      </c>
      <c r="U17" s="189" t="str">
        <f t="shared" ref="U17" si="109">INDEX(C16:C19,MATCH(T17,S16:S19,0),0)</f>
        <v>Tunisia</v>
      </c>
      <c r="V17" s="189">
        <f>INDEX(R16:R19,MATCH(U17,C16:C19,0),0)</f>
        <v>1</v>
      </c>
      <c r="W17" s="189" t="str">
        <f t="shared" ref="W17" si="110">IF(W16&lt;&gt;"",U17,"")</f>
        <v>Tunisia</v>
      </c>
      <c r="X17" s="189" t="str">
        <f t="shared" ref="X17" si="111">IF(V18=2,U17,"")</f>
        <v/>
      </c>
      <c r="Z17" s="189">
        <f>SUMPRODUCT((Matches!F5:F52=W17)*(Matches!K5:K52=W16)*(Matches!H5:H52&gt;Matches!I5:I52)*1)+SUMPRODUCT((Matches!K5:K52=W17)*(Matches!F5:F52=W16)*(Matches!I5:I52&gt;Matches!H5:H52)*1)+SUMPRODUCT((Matches!F5:F52=W17)*(Matches!K5:K52=W18)*(Matches!H5:H52&gt;Matches!I5:I52)*1)+SUMPRODUCT((Matches!K5:K52=W17)*(Matches!F5:F52=W18)*(Matches!I5:I52&gt;Matches!H5:H52)*1)+SUMPRODUCT((Matches!F5:F52=W17)*(Matches!K5:K52=W19)*(Matches!H5:H52&gt;Matches!I5:I52)*1)+SUMPRODUCT((Matches!K5:K52=W17)*(Matches!F5:F52=W19)*(Matches!I5:I52&gt;Matches!H5:H52)*1)</f>
        <v>0</v>
      </c>
      <c r="AA17" s="189">
        <f>SUMPRODUCT((Matches!F5:F52=W17)*(Matches!K5:K52=W16)*(Matches!H5:H52=Matches!I5:I52)*1)+SUMPRODUCT((Matches!K5:K52=W17)*(Matches!F5:F52=W16)*(Matches!H5:H52=Matches!I5:I52)*1)+SUMPRODUCT((Matches!F5:F52=W17)*(Matches!K5:K52=W18)*(Matches!H5:H52=Matches!I5:I52)*1)+SUMPRODUCT((Matches!K5:K52=W17)*(Matches!F5:F52=W18)*(Matches!H5:H52=Matches!I5:I52)*1)+SUMPRODUCT((Matches!F5:F52=W17)*(Matches!K5:K52=W19)*(Matches!H5:H52=Matches!I5:I52)*1)+SUMPRODUCT((Matches!K5:K52=W17)*(Matches!F5:F52=W19)*(Matches!H5:H52=Matches!I5:I52)*1)</f>
        <v>3</v>
      </c>
      <c r="AB17" s="189">
        <f>SUMPRODUCT((Matches!F5:F52=W17)*(Matches!K5:K52=W16)*(Matches!H5:H52&lt;Matches!I5:I52)*1)+SUMPRODUCT((Matches!K5:K52=W17)*(Matches!F5:F52=W16)*(Matches!I5:I52&lt;Matches!H5:H52)*1)+SUMPRODUCT((Matches!F5:F52=W17)*(Matches!K5:K52=W18)*(Matches!H5:H52&lt;Matches!I5:I52)*1)+SUMPRODUCT((Matches!K5:K52=W17)*(Matches!F5:F52=W18)*(Matches!I5:I52&lt;Matches!H5:H52)*1)+SUMPRODUCT((Matches!F5:F52=W17)*(Matches!K5:K52=W19)*(Matches!H5:H52&lt;Matches!I5:I52)*1)+SUMPRODUCT((Matches!K5:K52=W17)*(Matches!F5:F52=W19)*(Matches!I5:I52&lt;Matches!H5:H52)*1)</f>
        <v>0</v>
      </c>
      <c r="AC17" s="189">
        <f>SUMIFS(Matches!H5:H52,Matches!F5:F52,W17,Matches!K5:K52,W16)+SUMIFS(Matches!H5:H52,Matches!F5:F52,W17,Matches!K5:K52,W18)+SUMIFS(Matches!H5:H52,Matches!F5:F52,W17,Matches!K5:K52,W19)+SUMIFS(Matches!I5:I52,Matches!K5:K52,W17,Matches!F5:F52,W16)+SUMIFS(Matches!I5:I52,Matches!K5:K52,W17,Matches!F5:F52,W18)+SUMIFS(Matches!I5:I52,Matches!K5:K52,W17,Matches!F5:F52,W19)</f>
        <v>0</v>
      </c>
      <c r="AD17" s="189">
        <f>SUMIFS(Matches!I5:I52,Matches!F5:F52,W17,Matches!K5:K52,W16)+SUMIFS(Matches!I5:I52,Matches!F5:F52,W17,Matches!K5:K52,W18)+SUMIFS(Matches!I5:I52,Matches!F5:F52,W17,Matches!K5:K52,W19)+SUMIFS(Matches!H5:H52,Matches!K5:K52,W17,Matches!F5:F52,W16)+SUMIFS(Matches!H5:H52,Matches!K5:K52,W17,Matches!F5:F52,W18)+SUMIFS(Matches!H5:H52,Matches!K5:K52,W17,Matches!F5:F52,W19)</f>
        <v>0</v>
      </c>
      <c r="AE17" s="189">
        <f t="shared" si="7"/>
        <v>0</v>
      </c>
      <c r="AF17" s="189">
        <f t="shared" si="8"/>
        <v>3</v>
      </c>
      <c r="AG17" s="189">
        <f t="shared" ref="AG17" si="112">IF(W17&lt;&gt;"",SUMPRODUCT((V16:V19=V17)*(AF16:AF19&gt;AF17)*1),0)</f>
        <v>0</v>
      </c>
      <c r="AH17" s="189">
        <f t="shared" ref="AH17" si="113">IF(W17&lt;&gt;"",SUMPRODUCT((AG16:AG19=AG17)*(AE16:AE19&gt;AE17)*1),0)</f>
        <v>0</v>
      </c>
      <c r="AI17" s="189">
        <f t="shared" si="0"/>
        <v>0</v>
      </c>
      <c r="AJ17" s="189">
        <f t="shared" ref="AJ17" si="114">IF(W17&lt;&gt;"",SUMPRODUCT((AI16:AI19=AI17)*(AG16:AG19=AG17)*(AC16:AC19&gt;AC17)*1),0)</f>
        <v>0</v>
      </c>
      <c r="AK17" s="189">
        <f t="shared" si="9"/>
        <v>1</v>
      </c>
      <c r="AL17" s="189">
        <f>SUMPRODUCT((Matches!F5:F52=X17)*(Matches!K5:K52=X18)*(Matches!H5:H52&gt;Matches!I5:I52)*1)+SUMPRODUCT((Matches!K5:K52=X17)*(Matches!F5:F52=X18)*(Matches!I5:I52&gt;Matches!H5:H52)*1)+SUMPRODUCT((Matches!F5:F52=X17)*(Matches!K5:K52=X19)*(Matches!H5:H52&gt;Matches!I5:I52)*1)+SUMPRODUCT((Matches!K5:K52=X17)*(Matches!F5:F52=X19)*(Matches!I5:I52&gt;Matches!H5:H52)*1)</f>
        <v>0</v>
      </c>
      <c r="AM17" s="189">
        <f>SUMPRODUCT((Matches!F5:F52=X17)*(Matches!K5:K52=X18)*(Matches!H5:H52=Matches!I5:I52)*1)+SUMPRODUCT((Matches!K5:K52=X17)*(Matches!F5:F52=X18)*(Matches!H5:H52=Matches!I5:I52)*1)+SUMPRODUCT((Matches!F5:F52=X17)*(Matches!K5:K52=X19)*(Matches!H5:H52=Matches!I5:I52)*1)+SUMPRODUCT((Matches!K5:K52=X17)*(Matches!F5:F52=X19)*(Matches!H5:H52=Matches!I5:I52)*1)</f>
        <v>0</v>
      </c>
      <c r="AN17" s="189">
        <f>SUMPRODUCT((Matches!F5:F52=X17)*(Matches!K5:K52=X18)*(Matches!H5:H52&lt;Matches!I5:I52)*1)+SUMPRODUCT((Matches!K5:K52=X17)*(Matches!F5:F52=X18)*(Matches!I5:I52&lt;Matches!H5:H52)*1)+SUMPRODUCT((Matches!F5:F52=X17)*(Matches!K5:K52=X19)*(Matches!H5:H52&lt;Matches!I5:I52)*1)+SUMPRODUCT((Matches!K5:K52=X17)*(Matches!F5:F52=X19)*(Matches!I5:I52&lt;Matches!H5:H52)*1)</f>
        <v>0</v>
      </c>
      <c r="AO17" s="189">
        <f>SUMIFS(Matches!H5:H52,Matches!F5:F52,X17,Matches!K5:K52,X18)+SUMIFS(Matches!H5:H52,Matches!F5:F52,X17,Matches!K5:K52,X19)+SUMIFS(Matches!I5:I52,Matches!K5:K52,X17,Matches!F5:F52,X18)+SUMIFS(Matches!I5:I52,Matches!K5:K52,X17,Matches!F5:F52,X19)</f>
        <v>0</v>
      </c>
      <c r="AP17" s="189">
        <f>SUMIFS(Matches!I5:I52,Matches!F5:F52,X17,Matches!K5:K52,X18)+SUMIFS(Matches!I5:I52,Matches!F5:F52,X17,Matches!K5:K52,X19)+SUMIFS(Matches!H5:H52,Matches!K5:K52,X17,Matches!F5:F52,X18)+SUMIFS(Matches!H5:H52,Matches!K5:K52,X17,Matches!F5:F52,X19)</f>
        <v>0</v>
      </c>
      <c r="AQ17" s="189">
        <f t="shared" si="10"/>
        <v>0</v>
      </c>
      <c r="AR17" s="189">
        <f t="shared" si="11"/>
        <v>0</v>
      </c>
      <c r="AS17" s="189">
        <f t="shared" ref="AS17" si="115">IF(X17&lt;&gt;"",SUMPRODUCT((V16:V19=V17)*(AR16:AR19&gt;AR17)*1),0)</f>
        <v>0</v>
      </c>
      <c r="AT17" s="189">
        <f t="shared" ref="AT17" si="116">IF(X17&lt;&gt;"",SUMPRODUCT((AS16:AS19=AS17)*(AQ16:AQ19&gt;AQ17)*1),0)</f>
        <v>0</v>
      </c>
      <c r="AU17" s="189">
        <f t="shared" si="12"/>
        <v>0</v>
      </c>
      <c r="AV17" s="189">
        <f t="shared" ref="AV17" si="117">IF(X17&lt;&gt;"",SUMPRODUCT((AU16:AU19=AU17)*(AS16:AS19=AS17)*(AO16:AO19&gt;AO17)*1),0)</f>
        <v>0</v>
      </c>
      <c r="AW17" s="189">
        <f t="shared" si="13"/>
        <v>1</v>
      </c>
      <c r="AX17" s="189">
        <v>0</v>
      </c>
      <c r="AY17" s="189">
        <v>0</v>
      </c>
      <c r="AZ17" s="189">
        <v>0</v>
      </c>
      <c r="BA17" s="189">
        <v>0</v>
      </c>
      <c r="BB17" s="189">
        <v>0</v>
      </c>
      <c r="BC17" s="189">
        <v>0</v>
      </c>
      <c r="BD17" s="189">
        <v>0</v>
      </c>
      <c r="BE17" s="189">
        <v>0</v>
      </c>
      <c r="BF17" s="189">
        <v>0</v>
      </c>
      <c r="BG17" s="189">
        <v>0</v>
      </c>
      <c r="BH17" s="189">
        <v>0</v>
      </c>
      <c r="BI17" s="189">
        <f t="shared" si="17"/>
        <v>1</v>
      </c>
      <c r="BJ17" s="189">
        <f>SUMPRODUCT((BI16:BI19=BI17)*(A16:A19&gt;A17)*1)</f>
        <v>2</v>
      </c>
      <c r="BK17" s="189">
        <f t="shared" si="14"/>
        <v>3</v>
      </c>
      <c r="BM17" s="200"/>
      <c r="BN17" s="201"/>
      <c r="BO17" s="191" t="str">
        <f>Calculator!C14</f>
        <v>Mexico</v>
      </c>
      <c r="BP17" s="191" t="s">
        <v>671</v>
      </c>
      <c r="BQ17" s="191"/>
      <c r="BR17" s="189">
        <v>11</v>
      </c>
      <c r="BS17" s="202">
        <v>-7</v>
      </c>
      <c r="BU17" s="22">
        <v>11</v>
      </c>
      <c r="BV17" s="193">
        <f t="shared" si="18"/>
        <v>44888.791666666664</v>
      </c>
      <c r="BW17" s="194">
        <v>44888.791666666664</v>
      </c>
      <c r="BX17" s="195">
        <f t="shared" si="19"/>
        <v>44888.791666666664</v>
      </c>
      <c r="BZ17" s="189" t="str">
        <f>INDEX(Language!$A$1:$K$117,MATCH(Setup!B18,Language!$B$1:$B$117,0),MATCH(Setup!$C$5,Language!$A$1:$J$1,0))</f>
        <v>Mexico</v>
      </c>
    </row>
    <row r="18" spans="1:78" x14ac:dyDescent="0.35">
      <c r="A18" s="189">
        <f>INDEX(M4:M35,MATCH(U18,C4:C35,0),0)</f>
        <v>1790</v>
      </c>
      <c r="B18" s="189">
        <f t="shared" si="25"/>
        <v>3</v>
      </c>
      <c r="C18" s="189" t="str">
        <f t="shared" si="1"/>
        <v>France</v>
      </c>
      <c r="D18" s="189">
        <f t="shared" si="2"/>
        <v>0</v>
      </c>
      <c r="E18" s="189">
        <f>SUMPRODUCT((Matches!H5:H52&lt;&gt;"")*(Matches!F5:F52=C18)*(Matches!H5:H52&gt;Matches!I5:I52)*1)+SUMPRODUCT((Matches!H5:H52&lt;&gt;"")*(Matches!K5:K52=C18)*(Matches!I5:I52&gt;Matches!H5:H52)*1)</f>
        <v>0</v>
      </c>
      <c r="F18" s="189">
        <f>SUMPRODUCT((Matches!H5:H52&lt;&gt;"")*(Matches!F5:F52=C18)*(Matches!H5:H52=Matches!I5:I52)*1)+SUMPRODUCT((Matches!H5:H52&lt;&gt;"")*(Matches!K5:K52=C18)*(Matches!H5:H52=Matches!I5:I52)*1)</f>
        <v>0</v>
      </c>
      <c r="G18" s="189">
        <f>SUMPRODUCT((Matches!H5:H52&lt;&gt;"")*(Matches!F5:F52=C18)*(Matches!H5:H52&lt;Matches!I5:I52)*1)+SUMPRODUCT((Matches!H5:H52&lt;&gt;"")*(Matches!K5:K52=C18)*(Matches!I5:I52&lt;Matches!H5:H52)*1)</f>
        <v>0</v>
      </c>
      <c r="H18" s="189">
        <f>SUMIF(Matches!F5:F52,C18,Matches!H5:H52)+SUMIF(Matches!K5:K52,C18,Matches!I5:I52)</f>
        <v>0</v>
      </c>
      <c r="I18" s="189">
        <f>SUMIF(Matches!F5:F52,C18,Matches!I5:I52)+SUMIF(Matches!K5:K52,C18,Matches!H5:H52)</f>
        <v>0</v>
      </c>
      <c r="J18" s="189">
        <f t="shared" si="3"/>
        <v>0</v>
      </c>
      <c r="K18" s="189">
        <f t="shared" si="4"/>
        <v>0</v>
      </c>
      <c r="L18" s="189">
        <f>Setup!E22</f>
        <v>1790</v>
      </c>
      <c r="M18" s="189">
        <f>IF(Setup!F22&lt;&gt;"",Setup!F22,Setup!E22)</f>
        <v>1790</v>
      </c>
      <c r="N18" s="189">
        <f>RANK(K18,K16:K19)</f>
        <v>1</v>
      </c>
      <c r="O18" s="189">
        <f>SUMPRODUCT((N16:N19=N18)*(J16:J19&gt;J18)*1)</f>
        <v>0</v>
      </c>
      <c r="P18" s="189">
        <f t="shared" si="5"/>
        <v>1</v>
      </c>
      <c r="Q18" s="189">
        <f>SUMPRODUCT((N16:N19=N18)*(J16:J19=J18)*(H16:H19&gt;H18)*1)</f>
        <v>0</v>
      </c>
      <c r="R18" s="189">
        <f t="shared" si="6"/>
        <v>1</v>
      </c>
      <c r="S18" s="189">
        <f>RANK(R18,R16:R19,1)+COUNTIF(R16:R18,R18)-1</f>
        <v>3</v>
      </c>
      <c r="T18" s="189">
        <v>3</v>
      </c>
      <c r="U18" s="189" t="str">
        <f t="shared" ref="U18" si="118">INDEX(C16:C19,MATCH(T18,S16:S19,0),0)</f>
        <v>France</v>
      </c>
      <c r="V18" s="189">
        <f>INDEX(R16:R19,MATCH(U18,C16:C19,0),0)</f>
        <v>1</v>
      </c>
      <c r="W18" s="189" t="str">
        <f t="shared" ref="W18:W19" si="119">IF(AND(W17&lt;&gt;"",V18=1),U18,"")</f>
        <v>France</v>
      </c>
      <c r="X18" s="189" t="str">
        <f t="shared" ref="X18" si="120">IF(X17&lt;&gt;"",U18,"")</f>
        <v/>
      </c>
      <c r="Y18" s="189" t="str">
        <f t="shared" ref="Y18" si="121">IF(V19=3,U18,"")</f>
        <v/>
      </c>
      <c r="Z18" s="189">
        <f>SUMPRODUCT((Matches!F5:F52=W18)*(Matches!K5:K52=W16)*(Matches!H5:H52&gt;Matches!I5:I52)*1)+SUMPRODUCT((Matches!K5:K52=W18)*(Matches!F5:F52=W16)*(Matches!I5:I52&gt;Matches!H5:H52)*1)+SUMPRODUCT((Matches!F5:F52=W18)*(Matches!K5:K52=W17)*(Matches!H5:H52&gt;Matches!I5:I52)*1)+SUMPRODUCT((Matches!K5:K52=W18)*(Matches!F5:F52=W17)*(Matches!I5:I52&gt;Matches!H5:H52)*1)+SUMPRODUCT((Matches!F5:F52=W18)*(Matches!K5:K52=W19)*(Matches!H5:H52&gt;Matches!I5:I52)*1)+SUMPRODUCT((Matches!K5:K52=W18)*(Matches!F5:F52=W19)*(Matches!I5:I52&gt;Matches!H5:H52)*1)</f>
        <v>0</v>
      </c>
      <c r="AA18" s="189">
        <f>SUMPRODUCT((Matches!F5:F52=W18)*(Matches!K5:K52=W16)*(Matches!H5:H52=Matches!I5:I52)*1)+SUMPRODUCT((Matches!K5:K52=W18)*(Matches!F5:F52=W16)*(Matches!H5:H52=Matches!I5:I52)*1)+SUMPRODUCT((Matches!F5:F52=W18)*(Matches!K5:K52=W17)*(Matches!H5:H52=Matches!I5:I52)*1)+SUMPRODUCT((Matches!K5:K52=W18)*(Matches!F5:F52=W17)*(Matches!H5:H52=Matches!I5:I52)*1)+SUMPRODUCT((Matches!F5:F52=W18)*(Matches!K5:K52=W19)*(Matches!H5:H52=Matches!I5:I52)*1)+SUMPRODUCT((Matches!K5:K52=W18)*(Matches!F5:F52=W19)*(Matches!H5:H52=Matches!I5:I52)*1)</f>
        <v>3</v>
      </c>
      <c r="AB18" s="189">
        <f>SUMPRODUCT((Matches!F5:F52=W18)*(Matches!K5:K52=W16)*(Matches!H5:H52&lt;Matches!I5:I52)*1)+SUMPRODUCT((Matches!K5:K52=W18)*(Matches!F5:F52=W16)*(Matches!I5:I52&lt;Matches!H5:H52)*1)+SUMPRODUCT((Matches!F5:F52=W18)*(Matches!K5:K52=W17)*(Matches!H5:H52&lt;Matches!I5:I52)*1)+SUMPRODUCT((Matches!K5:K52=W18)*(Matches!F5:F52=W17)*(Matches!I5:I52&lt;Matches!H5:H52)*1)+SUMPRODUCT((Matches!F5:F52=W18)*(Matches!K5:K52=W19)*(Matches!H5:H52&lt;Matches!I5:I52)*1)+SUMPRODUCT((Matches!K5:K52=W18)*(Matches!F5:F52=W19)*(Matches!I5:I52&lt;Matches!H5:H52)*1)</f>
        <v>0</v>
      </c>
      <c r="AC18" s="189">
        <f>SUMIFS(Matches!H5:H52,Matches!F5:F52,W18,Matches!K5:K52,W16)+SUMIFS(Matches!H5:H52,Matches!F5:F52,W18,Matches!K5:K52,W17)+SUMIFS(Matches!H5:H52,Matches!F5:F52,W18,Matches!K5:K52,W19)+SUMIFS(Matches!I5:I52,Matches!K5:K52,W18,Matches!F5:F52,W16)+SUMIFS(Matches!I5:I52,Matches!K5:K52,W18,Matches!F5:F52,W17)+SUMIFS(Matches!I5:I52,Matches!K5:K52,W18,Matches!F5:F52,W19)</f>
        <v>0</v>
      </c>
      <c r="AD18" s="189">
        <f>SUMIFS(Matches!I5:I52,Matches!F5:F52,W18,Matches!K5:K52,W16)+SUMIFS(Matches!I5:I52,Matches!F5:F52,W18,Matches!K5:K52,W17)+SUMIFS(Matches!I5:I52,Matches!F5:F52,W18,Matches!K5:K52,W19)+SUMIFS(Matches!H5:H52,Matches!K5:K52,W18,Matches!F5:F52,W16)+SUMIFS(Matches!H5:H52,Matches!K5:K52,W18,Matches!F5:F52,W17)+SUMIFS(Matches!H5:H52,Matches!K5:K52,W18,Matches!F5:F52,W19)</f>
        <v>0</v>
      </c>
      <c r="AE18" s="189">
        <f t="shared" si="7"/>
        <v>0</v>
      </c>
      <c r="AF18" s="189">
        <f t="shared" si="8"/>
        <v>3</v>
      </c>
      <c r="AG18" s="189">
        <f t="shared" ref="AG18" si="122">IF(W18&lt;&gt;"",SUMPRODUCT((V16:V19=V18)*(AF16:AF19&gt;AF18)*1),0)</f>
        <v>0</v>
      </c>
      <c r="AH18" s="189">
        <f t="shared" ref="AH18" si="123">IF(W18&lt;&gt;"",SUMPRODUCT((AG16:AG19=AG18)*(AE16:AE19&gt;AE18)*1),0)</f>
        <v>0</v>
      </c>
      <c r="AI18" s="189">
        <f t="shared" si="0"/>
        <v>0</v>
      </c>
      <c r="AJ18" s="189">
        <f t="shared" ref="AJ18" si="124">IF(W18&lt;&gt;"",SUMPRODUCT((AI16:AI19=AI18)*(AG16:AG19=AG18)*(AC16:AC19&gt;AC18)*1),0)</f>
        <v>0</v>
      </c>
      <c r="AK18" s="189">
        <f t="shared" si="9"/>
        <v>1</v>
      </c>
      <c r="AL18" s="189">
        <f>SUMPRODUCT((Matches!F5:F52=X18)*(Matches!K5:K52=X17)*(Matches!H5:H52&gt;Matches!I5:I52)*1)+SUMPRODUCT((Matches!K5:K52=X18)*(Matches!F5:F52=X17)*(Matches!I5:I52&gt;Matches!H5:H52)*1)+SUMPRODUCT((Matches!F5:F52=X18)*(Matches!K5:K52=X19)*(Matches!H5:H52&gt;Matches!I5:I52)*1)+SUMPRODUCT((Matches!K5:K52=X18)*(Matches!F5:F52=X19)*(Matches!I5:I52&gt;Matches!H5:H52)*1)</f>
        <v>0</v>
      </c>
      <c r="AM18" s="189">
        <f>SUMPRODUCT((Matches!F5:F52=X18)*(Matches!K5:K52=X17)*(Matches!H5:H52=Matches!I5:I52)*1)+SUMPRODUCT((Matches!K5:K52=X18)*(Matches!F5:F52=X17)*(Matches!H5:H52=Matches!I5:I52)*1)+SUMPRODUCT((Matches!F5:F52=X18)*(Matches!K5:K52=X19)*(Matches!H5:H52=Matches!I5:I52)*1)+SUMPRODUCT((Matches!K5:K52=X18)*(Matches!F5:F52=X19)*(Matches!H5:H52=Matches!I5:I52)*1)</f>
        <v>0</v>
      </c>
      <c r="AN18" s="189">
        <f>SUMPRODUCT((Matches!F5:F52=X18)*(Matches!K5:K52=X17)*(Matches!H5:H52&lt;Matches!I5:I52)*1)+SUMPRODUCT((Matches!K5:K52=X18)*(Matches!F5:F52=X17)*(Matches!I5:I52&lt;Matches!H5:H52)*1)+SUMPRODUCT((Matches!F5:F52=X18)*(Matches!K5:K52=X19)*(Matches!H5:H52&lt;Matches!I5:I52)*1)+SUMPRODUCT((Matches!K5:K52=X18)*(Matches!F5:F52=X19)*(Matches!I5:I52&lt;Matches!H5:H52)*1)</f>
        <v>0</v>
      </c>
      <c r="AO18" s="189">
        <f>SUMIFS(Matches!H5:H52,Matches!F5:F52,X18,Matches!K5:K52,X17)+SUMIFS(Matches!H5:H52,Matches!F5:F52,X18,Matches!K5:K52,X19)+SUMIFS(Matches!I5:I52,Matches!K5:K52,X18,Matches!F5:F52,X17)+SUMIFS(Matches!I5:I52,Matches!K5:K52,X18,Matches!F5:F52,X19)</f>
        <v>0</v>
      </c>
      <c r="AP18" s="189">
        <f>SUMIFS(Matches!I5:I52,Matches!F5:F52,X18,Matches!K5:K52,X17)+SUMIFS(Matches!I5:I52,Matches!F5:F52,X18,Matches!K5:K52,X19)+SUMIFS(Matches!H5:H52,Matches!K5:K52,X18,Matches!F5:F52,X17)+SUMIFS(Matches!H5:H52,Matches!K5:K52,X18,Matches!F5:F52,X19)</f>
        <v>0</v>
      </c>
      <c r="AQ18" s="189">
        <f t="shared" si="10"/>
        <v>0</v>
      </c>
      <c r="AR18" s="189">
        <f t="shared" si="11"/>
        <v>0</v>
      </c>
      <c r="AS18" s="189">
        <f t="shared" ref="AS18" si="125">IF(X18&lt;&gt;"",SUMPRODUCT((V16:V19=V18)*(AR16:AR19&gt;AR18)*1),0)</f>
        <v>0</v>
      </c>
      <c r="AT18" s="189">
        <f t="shared" ref="AT18" si="126">IF(X18&lt;&gt;"",SUMPRODUCT((AS16:AS19=AS18)*(AQ16:AQ19&gt;AQ18)*1),0)</f>
        <v>0</v>
      </c>
      <c r="AU18" s="189">
        <f t="shared" si="12"/>
        <v>0</v>
      </c>
      <c r="AV18" s="189">
        <f t="shared" ref="AV18" si="127">IF(X18&lt;&gt;"",SUMPRODUCT((AU16:AU19=AU18)*(AS16:AS19=AS18)*(AO16:AO19&gt;AO18)*1),0)</f>
        <v>0</v>
      </c>
      <c r="AW18" s="189">
        <f t="shared" si="13"/>
        <v>1</v>
      </c>
      <c r="AX18" s="189">
        <f>SUMPRODUCT((Matches!F5:F52=Y18)*(Matches!K5:K52=Y19)*(Matches!H5:H52&gt;Matches!I5:I52)*1)+SUMPRODUCT((Matches!K5:K52=Y18)*(Matches!F5:F52=Y19)*(Matches!I5:I52&gt;Matches!H5:H52)*1)</f>
        <v>0</v>
      </c>
      <c r="AY18" s="189">
        <f>SUMPRODUCT((Matches!F5:F52=Y18)*(Matches!K5:K52=Y19)*(Matches!H5:H52=Matches!I5:I52)*1)+SUMPRODUCT((Matches!K5:K52=Y18)*(Matches!F5:F52=Y19)*(Matches!I5:I52=Matches!H5:H52)*1)</f>
        <v>0</v>
      </c>
      <c r="AZ18" s="189">
        <f>SUMPRODUCT((Matches!F5:F52=Y18)*(Matches!K5:K52=Y19)*(Matches!H5:H52&lt;Matches!I5:I52)*1)+SUMPRODUCT((Matches!K5:K52=Y18)*(Matches!F5:F52=Y19)*(Matches!I5:I52&lt;Matches!H5:H52)*1)</f>
        <v>0</v>
      </c>
      <c r="BA18" s="189">
        <f>SUMIFS(Matches!H5:H52,Matches!F5:F52,Y18,Matches!K5:K52,Y19)+SUMIFS(Matches!I5:I52,Matches!K5:K52,Y18,Matches!F5:F52,Y19)</f>
        <v>0</v>
      </c>
      <c r="BB18" s="189">
        <f>SUMIFS(Matches!I5:I52,Matches!F5:F52,Y18,Matches!K5:K52,Y19)+SUMIFS(Matches!H5:H52,Matches!K5:K52,Y18,Matches!F5:F52,Y19)</f>
        <v>0</v>
      </c>
      <c r="BC18" s="189">
        <f t="shared" ref="BC18:BC19" si="128">BA18-BB18</f>
        <v>0</v>
      </c>
      <c r="BD18" s="189">
        <f t="shared" ref="BD18:BD19" si="129">AY18*1+AX18*3</f>
        <v>0</v>
      </c>
      <c r="BE18" s="189">
        <f t="shared" ref="BE18" si="130">IF(Y18&lt;&gt;"",SUMPRODUCT((AH16:AH19=AH18)*(BD16:BD19&gt;BD18)*1),0)</f>
        <v>0</v>
      </c>
      <c r="BF18" s="189">
        <f t="shared" ref="BF18" si="131">IF(Y18&lt;&gt;"",SUMPRODUCT((BE16:BE19=BE18)*(BC16:BC19&gt;BC18)*1),0)</f>
        <v>0</v>
      </c>
      <c r="BG18" s="189">
        <f t="shared" ref="BG18:BG19" si="132">BE18+BF18</f>
        <v>0</v>
      </c>
      <c r="BH18" s="189">
        <f t="shared" ref="BH18" si="133">IF(Y18&lt;&gt;"",SUMPRODUCT((BG16:BG19=BG18)*(BE16:BE19=BE18)*(BA16:BA19&gt;BA18)*1),0)</f>
        <v>0</v>
      </c>
      <c r="BI18" s="189">
        <f t="shared" si="17"/>
        <v>1</v>
      </c>
      <c r="BJ18" s="189">
        <f>SUMPRODUCT((BI16:BI19=BI18)*(A16:A19&gt;A18)*1)</f>
        <v>0</v>
      </c>
      <c r="BK18" s="189">
        <f t="shared" si="14"/>
        <v>1</v>
      </c>
      <c r="BM18" s="200"/>
      <c r="BN18" s="201"/>
      <c r="BO18" s="191" t="str">
        <f>Calculator!C15</f>
        <v>Poland</v>
      </c>
      <c r="BP18" s="191" t="s">
        <v>672</v>
      </c>
      <c r="BQ18" s="191"/>
      <c r="BR18" s="189">
        <v>12</v>
      </c>
      <c r="BS18" s="202">
        <v>-6.5</v>
      </c>
      <c r="BU18" s="22">
        <v>12</v>
      </c>
      <c r="BV18" s="193">
        <f t="shared" si="18"/>
        <v>44888.916666666664</v>
      </c>
      <c r="BW18" s="194">
        <v>44888.916666666664</v>
      </c>
      <c r="BX18" s="195">
        <f t="shared" si="19"/>
        <v>44888.916666666664</v>
      </c>
      <c r="BZ18" s="189" t="str">
        <f>INDEX(Language!$A$1:$K$117,MATCH(Setup!B19,Language!$B$1:$B$117,0),MATCH(Setup!$C$5,Language!$A$1:$J$1,0))</f>
        <v>Poland</v>
      </c>
    </row>
    <row r="19" spans="1:78" ht="15.5" x14ac:dyDescent="0.35">
      <c r="A19" s="189">
        <f>INDEX(M4:M35,MATCH(U19,C4:C35,0),0)</f>
        <v>1462</v>
      </c>
      <c r="B19" s="189">
        <f t="shared" si="25"/>
        <v>4</v>
      </c>
      <c r="C19" s="189" t="str">
        <f t="shared" si="1"/>
        <v>Australia</v>
      </c>
      <c r="D19" s="189">
        <f t="shared" si="2"/>
        <v>0</v>
      </c>
      <c r="E19" s="189">
        <f>SUMPRODUCT((Matches!H5:H52&lt;&gt;"")*(Matches!F5:F52=C19)*(Matches!H5:H52&gt;Matches!I5:I52)*1)+SUMPRODUCT((Matches!H5:H52&lt;&gt;"")*(Matches!K5:K52=C19)*(Matches!I5:I52&gt;Matches!H5:H52)*1)</f>
        <v>0</v>
      </c>
      <c r="F19" s="189">
        <f>SUMPRODUCT((Matches!H5:H52&lt;&gt;"")*(Matches!F5:F52=C19)*(Matches!H5:H52=Matches!I5:I52)*1)+SUMPRODUCT((Matches!H5:H52&lt;&gt;"")*(Matches!K5:K52=C19)*(Matches!H5:H52=Matches!I5:I52)*1)</f>
        <v>0</v>
      </c>
      <c r="G19" s="189">
        <f>SUMPRODUCT((Matches!H5:H52&lt;&gt;"")*(Matches!F5:F52=C19)*(Matches!H5:H52&lt;Matches!I5:I52)*1)+SUMPRODUCT((Matches!H5:H52&lt;&gt;"")*(Matches!K5:K52=C19)*(Matches!I5:I52&lt;Matches!H5:H52)*1)</f>
        <v>0</v>
      </c>
      <c r="H19" s="189">
        <f>SUMIF(Matches!F5:F52,C19,Matches!H5:H52)+SUMIF(Matches!K5:K52,C19,Matches!I5:I52)</f>
        <v>0</v>
      </c>
      <c r="I19" s="189">
        <f>SUMIF(Matches!F5:F52,C19,Matches!I5:I52)+SUMIF(Matches!K5:K52,C19,Matches!H5:H52)</f>
        <v>0</v>
      </c>
      <c r="J19" s="189">
        <f t="shared" si="3"/>
        <v>0</v>
      </c>
      <c r="K19" s="189">
        <f t="shared" si="4"/>
        <v>0</v>
      </c>
      <c r="L19" s="189">
        <f>Setup!E23</f>
        <v>1462</v>
      </c>
      <c r="M19" s="189">
        <f>IF(Setup!F23&lt;&gt;"",Setup!F23,Setup!E23)</f>
        <v>1462</v>
      </c>
      <c r="N19" s="189">
        <f>RANK(K19,K16:K19)</f>
        <v>1</v>
      </c>
      <c r="O19" s="189">
        <f>SUMPRODUCT((N16:N19=N19)*(J16:J19&gt;J19)*1)</f>
        <v>0</v>
      </c>
      <c r="P19" s="189">
        <f t="shared" si="5"/>
        <v>1</v>
      </c>
      <c r="Q19" s="189">
        <f>SUMPRODUCT((N16:N19=N19)*(J16:J19=J19)*(H16:H19&gt;H19)*1)</f>
        <v>0</v>
      </c>
      <c r="R19" s="189">
        <f t="shared" si="6"/>
        <v>1</v>
      </c>
      <c r="S19" s="189">
        <f>RANK(R19,R16:R19,1)+COUNTIF(R16:R19,R19)-1</f>
        <v>4</v>
      </c>
      <c r="T19" s="189">
        <v>4</v>
      </c>
      <c r="U19" s="189" t="str">
        <f t="shared" ref="U19" si="134">INDEX(C16:C19,MATCH(T19,S16:S19,0),0)</f>
        <v>Australia</v>
      </c>
      <c r="V19" s="189">
        <f>INDEX(R16:R19,MATCH(U19,C16:C19,0),0)</f>
        <v>1</v>
      </c>
      <c r="W19" s="189" t="str">
        <f t="shared" si="119"/>
        <v>Australia</v>
      </c>
      <c r="X19" s="189" t="str">
        <f t="shared" ref="X19" si="135">IF(AND(X18&lt;&gt;"",V19=2),U19,"")</f>
        <v/>
      </c>
      <c r="Y19" s="189" t="str">
        <f t="shared" ref="Y19" si="136">IF(AND(Y18&lt;&gt;"",V19=3),U19,"")</f>
        <v/>
      </c>
      <c r="Z19" s="189">
        <f>SUMPRODUCT((Matches!F5:F52=W19)*(Matches!K5:K52=W16)*(Matches!H5:H52&gt;Matches!I5:I52)*1)+SUMPRODUCT((Matches!K5:K52=W19)*(Matches!F5:F52=W16)*(Matches!I5:I52&gt;Matches!H5:H52)*1)+SUMPRODUCT((Matches!F5:F52=W19)*(Matches!K5:K52=W17)*(Matches!H5:H52&gt;Matches!I5:I52)*1)+SUMPRODUCT((Matches!K5:K52=W19)*(Matches!F5:F52=W17)*(Matches!I5:I52&gt;Matches!H5:H52)*1)+SUMPRODUCT((Matches!F5:F52=W19)*(Matches!K5:K52=W18)*(Matches!H5:H52&gt;Matches!I5:I52)*1)+SUMPRODUCT((Matches!K5:K52=W19)*(Matches!F5:F52=W18)*(Matches!I5:I52&gt;Matches!H5:H52)*1)</f>
        <v>0</v>
      </c>
      <c r="AA19" s="189">
        <f>SUMPRODUCT((Matches!F5:F52=W19)*(Matches!K5:K52=W16)*(Matches!H5:H52&gt;=Matches!I5:I52)*1)+SUMPRODUCT((Matches!K5:K52=W19)*(Matches!F5:F52=W16)*(Matches!H5:H52=Matches!I5:I52)*1)+SUMPRODUCT((Matches!F5:F52=W19)*(Matches!K5:K52=W17)*(Matches!H5:H52=Matches!I5:I52)*1)+SUMPRODUCT((Matches!K5:K52=W19)*(Matches!F5:F52=W17)*(Matches!H5:H52=Matches!I5:I52)*1)+SUMPRODUCT((Matches!F5:F52=W19)*(Matches!K5:K52=W18)*(Matches!H5:H52=Matches!I5:I52)*1)+SUMPRODUCT((Matches!K5:K52=W19)*(Matches!F5:F52=W18)*(Matches!H5:H52=Matches!I5:I52)*1)</f>
        <v>3</v>
      </c>
      <c r="AB19" s="189">
        <f>SUMPRODUCT((Matches!F5:F52=W19)*(Matches!K5:K52=W16)*(Matches!H5:H52&lt;Matches!I5:I52)*1)+SUMPRODUCT((Matches!K5:K52=W19)*(Matches!F5:F52=W16)*(Matches!I5:I52&lt;Matches!H5:H52)*1)+SUMPRODUCT((Matches!F5:F52=W19)*(Matches!K5:K52=W17)*(Matches!H5:H52&lt;Matches!I5:I52)*1)+SUMPRODUCT((Matches!K5:K52=W19)*(Matches!F5:F52=W17)*(Matches!I5:I52&lt;Matches!H5:H52)*1)+SUMPRODUCT((Matches!F5:F52=W19)*(Matches!K5:K52=W18)*(Matches!H5:H52&lt;Matches!I5:I52)*1)+SUMPRODUCT((Matches!K5:K52=W19)*(Matches!F5:F52=W18)*(Matches!I5:I52&lt;Matches!H5:H52)*1)</f>
        <v>0</v>
      </c>
      <c r="AC19" s="189">
        <f>SUMIFS(Matches!H5:H52,Matches!F5:F52,W19,Matches!K5:K52,W16)+SUMIFS(Matches!H5:H52,Matches!F5:F52,W19,Matches!K5:K52,W17)+SUMIFS(Matches!H5:H52,Matches!F5:F52,W19,Matches!K5:K52,W18)+SUMIFS(Matches!I5:I52,Matches!K5:K52,W19,Matches!F5:F52,W16)+SUMIFS(Matches!I5:I52,Matches!K5:K52,W19,Matches!F5:F52,W17)+SUMIFS(Matches!I5:I52,Matches!K5:K52,W19,Matches!F5:F52,W18)</f>
        <v>0</v>
      </c>
      <c r="AD19" s="189">
        <f>SUMIFS(Matches!I5:I52,Matches!F5:F52,W19,Matches!K5:K52,W16)+SUMIFS(Matches!I5:I52,Matches!F5:F52,W19,Matches!K5:K52,W17)+SUMIFS(Matches!I5:I52,Matches!F5:F52,W19,Matches!K5:K52,W18)+SUMIFS(Matches!H5:H52,Matches!K5:K52,W19,Matches!F5:F52,W16)+SUMIFS(Matches!H5:H52,Matches!K5:K52,W19,Matches!F5:F52,W17)+SUMIFS(Matches!H5:H52,Matches!K5:K52,W19,Matches!F5:F52,W18)</f>
        <v>0</v>
      </c>
      <c r="AE19" s="189">
        <f t="shared" si="7"/>
        <v>0</v>
      </c>
      <c r="AF19" s="189">
        <f t="shared" si="8"/>
        <v>3</v>
      </c>
      <c r="AG19" s="189">
        <f t="shared" ref="AG19" si="137">IF(W19&lt;&gt;"",SUMPRODUCT((V16:V19=V19)*(AF16:AF19&gt;AF19)*1),0)</f>
        <v>0</v>
      </c>
      <c r="AH19" s="189">
        <f t="shared" ref="AH19" si="138">IF(W19&lt;&gt;"",SUMPRODUCT((AG16:AG19=AG19)*(AE16:AE19&gt;AE19)*1),0)</f>
        <v>0</v>
      </c>
      <c r="AI19" s="189">
        <f t="shared" si="0"/>
        <v>0</v>
      </c>
      <c r="AJ19" s="189">
        <f t="shared" ref="AJ19" si="139">IF(W19&lt;&gt;"",SUMPRODUCT((AI16:AI19=AI19)*(AG16:AG19=AG19)*(AC16:AC19&gt;AC19)*1),0)</f>
        <v>0</v>
      </c>
      <c r="AK19" s="189">
        <f t="shared" si="9"/>
        <v>1</v>
      </c>
      <c r="AL19" s="189">
        <f>SUMPRODUCT((Matches!F5:F52=X19)*(Matches!K5:K52=X17)*(Matches!H5:H52&gt;Matches!I5:I52)*1)+SUMPRODUCT((Matches!K5:K52=X19)*(Matches!F5:F52=X17)*(Matches!I5:I52&gt;Matches!H5:H52)*1)+SUMPRODUCT((Matches!F5:F52=X19)*(Matches!K5:K52=X18)*(Matches!H5:H52&gt;Matches!I5:I52)*1)+SUMPRODUCT((Matches!K5:K52=X19)*(Matches!F5:F52=X18)*(Matches!I5:I52&gt;Matches!H5:H52)*1)</f>
        <v>0</v>
      </c>
      <c r="AM19" s="189">
        <f>SUMPRODUCT((Matches!F5:F52=X19)*(Matches!K5:K52=X17)*(Matches!H5:H52=Matches!I5:I52)*1)+SUMPRODUCT((Matches!K5:K52=X19)*(Matches!F5:F52=X17)*(Matches!H5:H52=Matches!I5:I52)*1)+SUMPRODUCT((Matches!F5:F52=X19)*(Matches!K5:K52=X18)*(Matches!H5:H52=Matches!I5:I52)*1)+SUMPRODUCT((Matches!K5:K52=X19)*(Matches!F5:F52=X18)*(Matches!H5:H52=Matches!I5:I52)*1)</f>
        <v>0</v>
      </c>
      <c r="AN19" s="189">
        <f>SUMPRODUCT((Matches!F5:F52=X19)*(Matches!K5:K52=X17)*(Matches!H5:H52&lt;Matches!I5:I52)*1)+SUMPRODUCT((Matches!K5:K52=X19)*(Matches!F5:F52=X17)*(Matches!I5:I52&lt;Matches!H5:H52)*1)+SUMPRODUCT((Matches!F5:F52=X19)*(Matches!K5:K52=X18)*(Matches!H5:H52&lt;Matches!I5:I52)*1)+SUMPRODUCT((Matches!K5:K52=X19)*(Matches!F5:F52=X18)*(Matches!I5:I52&lt;Matches!H5:H52)*1)</f>
        <v>0</v>
      </c>
      <c r="AO19" s="189">
        <f>SUMIFS(Matches!H5:H52,Matches!F5:F52,X19,Matches!K5:K52,X17)+SUMIFS(Matches!H5:H52,Matches!F5:F52,X19,Matches!K5:K52,X18)+SUMIFS(Matches!I5:I52,Matches!K5:K52,X19,Matches!F5:F52,X17)+SUMIFS(Matches!I5:I52,Matches!K5:K52,X19,Matches!F5:F52,X18)</f>
        <v>0</v>
      </c>
      <c r="AP19" s="189">
        <f>SUMIFS(Matches!H5:H52,Matches!F5:F52,X19,Matches!K5:K52,X17)+SUMIFS(Matches!H5:H52,Matches!F5:F52,X19,Matches!K5:K52,X18)+SUMIFS(Matches!I5:I52,Matches!K5:K52,X19,Matches!F5:F52,X17)+SUMIFS(Matches!I5:I52,Matches!K5:K52,X19,Matches!F5:F52,X18)</f>
        <v>0</v>
      </c>
      <c r="AQ19" s="189">
        <f t="shared" si="10"/>
        <v>0</v>
      </c>
      <c r="AR19" s="189">
        <f t="shared" si="11"/>
        <v>0</v>
      </c>
      <c r="AS19" s="189">
        <f t="shared" ref="AS19" si="140">IF(X19&lt;&gt;"",SUMPRODUCT((V16:V19=V19)*(AR16:AR19&gt;AR19)*1),0)</f>
        <v>0</v>
      </c>
      <c r="AT19" s="189">
        <f t="shared" ref="AT19" si="141">IF(X19&lt;&gt;"",SUMPRODUCT((AS16:AS19=AS19)*(AQ16:AQ19&gt;AQ19)*1),0)</f>
        <v>0</v>
      </c>
      <c r="AU19" s="189">
        <f t="shared" si="12"/>
        <v>0</v>
      </c>
      <c r="AV19" s="189">
        <f t="shared" ref="AV19" si="142">IF(X19&lt;&gt;"",SUMPRODUCT((AU16:AU19=AU19)*(AS16:AS19=AS19)*(AO16:AO19&gt;AO19)*1),0)</f>
        <v>0</v>
      </c>
      <c r="AW19" s="189">
        <f t="shared" si="13"/>
        <v>1</v>
      </c>
      <c r="AX19" s="189">
        <f>SUMPRODUCT((Matches!F5:F52=Y19)*(Matches!K5:K52=Y18)*(Matches!H5:H52&gt;Matches!I5:I52)*1)+SUMPRODUCT((Matches!K5:K52=Y19)*(Matches!F5:F52=Y18)*(Matches!I5:I52&gt;Matches!H5:H52)*1)</f>
        <v>0</v>
      </c>
      <c r="AY19" s="189">
        <f>SUMPRODUCT((Matches!F5:F52=Y19)*(Matches!K5:K52=Y18)*(Matches!H5:H52=Matches!I5:I52)*1)+SUMPRODUCT((Matches!K5:K52=Y19)*(Matches!F5:F52=Y18)*(Matches!I5:I52=Matches!H5:H52)*1)</f>
        <v>0</v>
      </c>
      <c r="AZ19" s="189">
        <f>SUMPRODUCT((Matches!F5:F52=Y19)*(Matches!K5:K52=Y18)*(Matches!H5:H52&lt;Matches!I5:I52)*1)+SUMPRODUCT((Matches!K5:K52=Y19)*(Matches!F5:F52=Y18)*(Matches!I5:I52&lt;Matches!H5:H52)*1)</f>
        <v>0</v>
      </c>
      <c r="BA19" s="189">
        <f>SUMIFS(Matches!H5:H52,Matches!F5:F52,Y19,Matches!K5:K52,Y18)+SUMIFS(Matches!I5:I52,Matches!K5:K52,Y19,Matches!F5:F52,Y18)</f>
        <v>0</v>
      </c>
      <c r="BB19" s="189">
        <f>SUMIFS(Matches!H5:H52,Matches!F5:F52,Y19,Matches!K5:K52,Y18)+SUMIFS(Matches!I5:I52,Matches!K5:K52,Y19,Matches!F5:F52,Y18)</f>
        <v>0</v>
      </c>
      <c r="BC19" s="189">
        <f t="shared" si="128"/>
        <v>0</v>
      </c>
      <c r="BD19" s="189">
        <f t="shared" si="129"/>
        <v>0</v>
      </c>
      <c r="BE19" s="189">
        <f t="shared" ref="BE19" si="143">IF(Y19&lt;&gt;"",SUMPRODUCT((AH16:AH19=AH19)*(BD16:BD19&gt;BD19)*1),0)</f>
        <v>0</v>
      </c>
      <c r="BF19" s="189">
        <f t="shared" ref="BF19" si="144">IF(Y19&lt;&gt;"",SUMPRODUCT((BE16:BE19=BE19)*(BC16:BC19&gt;BC19)*1),0)</f>
        <v>0</v>
      </c>
      <c r="BG19" s="189">
        <f t="shared" si="132"/>
        <v>0</v>
      </c>
      <c r="BH19" s="189">
        <f t="shared" ref="BH19" si="145">IF(Y19&lt;&gt;"",SUMPRODUCT((BG16:BG19=BG19)*(BE16:BE19=BE19)*(BA16:BA19&gt;BA19)*1),0)</f>
        <v>0</v>
      </c>
      <c r="BI19" s="189">
        <f t="shared" si="17"/>
        <v>1</v>
      </c>
      <c r="BJ19" s="189">
        <f>SUMPRODUCT((BI16:BI19=BI19)*(A16:A19&gt;A19)*1)</f>
        <v>3</v>
      </c>
      <c r="BK19" s="189">
        <f t="shared" si="14"/>
        <v>4</v>
      </c>
      <c r="BM19" s="200" t="s">
        <v>119</v>
      </c>
      <c r="BN19" s="201"/>
      <c r="BO19" s="191" t="str">
        <f>Calculator!C16</f>
        <v>Denmark</v>
      </c>
      <c r="BP19" s="191" t="s">
        <v>673</v>
      </c>
      <c r="BQ19" s="191"/>
      <c r="BR19" s="189">
        <v>13</v>
      </c>
      <c r="BS19" s="202">
        <v>-6</v>
      </c>
      <c r="BU19" s="22">
        <v>13</v>
      </c>
      <c r="BV19" s="193">
        <f t="shared" si="18"/>
        <v>44889.541666666664</v>
      </c>
      <c r="BW19" s="194">
        <v>44889.541666666664</v>
      </c>
      <c r="BX19" s="195">
        <f t="shared" si="19"/>
        <v>44889.541666666664</v>
      </c>
      <c r="BY19" s="189">
        <f>SUM(Matches!R17:R20)</f>
        <v>0</v>
      </c>
      <c r="BZ19" s="189" t="str">
        <f>INDEX(Language!$A$1:$K$117,MATCH(Setup!B20,Language!$B$1:$B$117,0),MATCH(Setup!$C$5,Language!$A$1:$J$1,0))</f>
        <v>Denmark</v>
      </c>
    </row>
    <row r="20" spans="1:78" x14ac:dyDescent="0.35">
      <c r="A20" s="189">
        <f>INDEX(M4:M35,MATCH(U20,C4:C35,0),0)</f>
        <v>1651</v>
      </c>
      <c r="B20" s="189">
        <f t="shared" si="25"/>
        <v>1</v>
      </c>
      <c r="C20" s="189" t="str">
        <f t="shared" si="1"/>
        <v>Germany</v>
      </c>
      <c r="D20" s="189">
        <f t="shared" si="2"/>
        <v>0</v>
      </c>
      <c r="E20" s="189">
        <f>SUMPRODUCT((Matches!H5:H52&lt;&gt;"")*(Matches!F5:F52=C20)*(Matches!H5:H52&gt;Matches!I5:I52)*1)+SUMPRODUCT((Matches!H5:H52&lt;&gt;"")*(Matches!K5:K52=C20)*(Matches!I5:I52&gt;Matches!H5:H52)*1)</f>
        <v>0</v>
      </c>
      <c r="F20" s="189">
        <f>SUMPRODUCT((Matches!H5:H52&lt;&gt;"")*(Matches!F5:F52=C20)*(Matches!H5:H52=Matches!I5:I52)*1)+SUMPRODUCT((Matches!H5:H52&lt;&gt;"")*(Matches!K5:K52=C20)*(Matches!H5:H52=Matches!I5:I52)*1)</f>
        <v>0</v>
      </c>
      <c r="G20" s="189">
        <f>SUMPRODUCT((Matches!H5:H52&lt;&gt;"")*(Matches!F5:F52=C20)*(Matches!H5:H52&lt;Matches!I5:I52)*1)+SUMPRODUCT((Matches!H5:H52&lt;&gt;"")*(Matches!K5:K52=C20)*(Matches!I5:I52&lt;Matches!H5:H52)*1)</f>
        <v>0</v>
      </c>
      <c r="H20" s="189">
        <f>SUMIF(Matches!F5:F52,C20,Matches!H5:H52)+SUMIF(Matches!K5:K52,C20,Matches!I5:I52)</f>
        <v>0</v>
      </c>
      <c r="I20" s="189">
        <f>SUMIF(Matches!F5:F52,C20,Matches!I5:I52)+SUMIF(Matches!K5:K52,C20,Matches!H5:H52)</f>
        <v>0</v>
      </c>
      <c r="J20" s="189">
        <f t="shared" si="3"/>
        <v>0</v>
      </c>
      <c r="K20" s="189">
        <f t="shared" si="4"/>
        <v>0</v>
      </c>
      <c r="L20" s="189">
        <f>Setup!E24</f>
        <v>1651</v>
      </c>
      <c r="M20" s="189">
        <f>IF(Setup!F24&lt;&gt;"",Setup!F24,Setup!E24)</f>
        <v>1651</v>
      </c>
      <c r="N20" s="189">
        <f>RANK(K20,K20:K23)</f>
        <v>1</v>
      </c>
      <c r="O20" s="189">
        <f>SUMPRODUCT((N20:N23=N20)*(J20:J23&gt;J20)*1)</f>
        <v>0</v>
      </c>
      <c r="P20" s="189">
        <f t="shared" si="5"/>
        <v>1</v>
      </c>
      <c r="Q20" s="189">
        <f>SUMPRODUCT((N20:N23=N20)*(J20:J23=J20)*(H20:H23&gt;H20)*1)</f>
        <v>0</v>
      </c>
      <c r="R20" s="189">
        <f t="shared" si="6"/>
        <v>1</v>
      </c>
      <c r="S20" s="189">
        <f>RANK(R20,R20:R23,1)+COUNTIF(R20:R20,R20)-1</f>
        <v>1</v>
      </c>
      <c r="T20" s="189">
        <v>1</v>
      </c>
      <c r="U20" s="189" t="str">
        <f>IF(Matches!B70="© 2022 | journalSHEET.com",INDEX(C20:C23,MATCH(T20,S20:S23,0),0),"Spain")</f>
        <v>Germany</v>
      </c>
      <c r="V20" s="189">
        <f>INDEX(R20:R23,MATCH(U20,C20:C23,0),0)</f>
        <v>1</v>
      </c>
      <c r="W20" s="189" t="str">
        <f t="shared" ref="W20" si="146">IF(V21=1,U20,"")</f>
        <v>Germany</v>
      </c>
      <c r="Z20" s="189">
        <f>SUMPRODUCT((Matches!F5:F52=W20)*(Matches!K5:K52=W21)*(Matches!H5:H52&gt;Matches!I5:I52)*1)+SUMPRODUCT((Matches!K5:K52=W20)*(Matches!F5:F52=W21)*(Matches!I5:I52&gt;Matches!H5:H52)*1)+SUMPRODUCT((Matches!F5:F52=W20)*(Matches!K5:K52=W22)*(Matches!H5:H52&gt;Matches!I5:I52)*1)+SUMPRODUCT((Matches!K5:K52=W20)*(Matches!F5:F52=W22)*(Matches!I5:I52&gt;Matches!H5:H52)*1)+SUMPRODUCT((Matches!F5:F52=W20)*(Matches!K5:K52=W23)*(Matches!H5:H52&gt;Matches!I5:I52)*1)+SUMPRODUCT((Matches!K5:K52=W20)*(Matches!F5:F52=W23)*(Matches!I5:I52&gt;Matches!H5:H52)*1)</f>
        <v>0</v>
      </c>
      <c r="AA20" s="189">
        <f>SUMPRODUCT((Matches!F5:F52=W20)*(Matches!K5:K52=W21)*(Matches!H5:H52=Matches!I5:I52)*1)+SUMPRODUCT((Matches!K5:K52=W20)*(Matches!F5:F52=W21)*(Matches!H5:H52=Matches!I5:I52)*1)+SUMPRODUCT((Matches!F5:F52=W20)*(Matches!K5:K52=W22)*(Matches!H5:H52=Matches!I5:I52)*1)+SUMPRODUCT((Matches!K5:K52=W20)*(Matches!F5:F52=W22)*(Matches!H5:H52=Matches!I5:I52)*1)+SUMPRODUCT((Matches!F5:F52=W20)*(Matches!K5:K52=W23)*(Matches!H5:H52=Matches!I5:I52)*1)+SUMPRODUCT((Matches!K5:K52=W20)*(Matches!F5:F52=W23)*(Matches!H5:H52=Matches!I5:I52)*1)</f>
        <v>3</v>
      </c>
      <c r="AB20" s="189">
        <f>SUMPRODUCT((Matches!F5:F52=W20)*(Matches!K5:K52=W21)*(Matches!H5:H52&lt;Matches!I5:I52)*1)+SUMPRODUCT((Matches!K5:K52=W20)*(Matches!F5:F52=W21)*(Matches!I5:I52&lt;Matches!H5:H52)*1)+SUMPRODUCT((Matches!F5:F52=W20)*(Matches!K5:K52=W22)*(Matches!H5:H52&lt;Matches!I5:I52)*1)+SUMPRODUCT((Matches!K5:K52=W20)*(Matches!F5:F52=W22)*(Matches!I5:I52&lt;Matches!H5:H52)*1)+SUMPRODUCT((Matches!F5:F52=W20)*(Matches!K5:K52=W23)*(Matches!H5:H52&lt;Matches!I5:I52)*1)+SUMPRODUCT((Matches!K5:K52=W20)*(Matches!F5:F52=W23)*(Matches!I5:I52&lt;Matches!H5:H52)*1)</f>
        <v>0</v>
      </c>
      <c r="AC20" s="189">
        <f>SUMIFS(Matches!H5:H52,Matches!F5:F52,W20,Matches!K5:K52,W21)+SUMIFS(Matches!H5:H52,Matches!F5:F52,W20,Matches!K5:K52,W22)+SUMIFS(Matches!H5:H52,Matches!F5:F52,W20,Matches!K5:K52,W23)+SUMIFS(Matches!I5:I52,Matches!K5:K52,W20,Matches!F5:F52,W21)+SUMIFS(Matches!I5:I52,Matches!K5:K52,W20,Matches!F5:F52,W22)+SUMIFS(Matches!I5:I52,Matches!K5:K52,W20,Matches!F5:F52,W23)</f>
        <v>0</v>
      </c>
      <c r="AD20" s="189">
        <f>SUMIFS(Matches!I5:I52,Matches!F5:F52,W20,Matches!K5:K52,W21)+SUMIFS(Matches!I5:I52,Matches!F5:F52,W20,Matches!K5:K52,W22)+SUMIFS(Matches!I5:I52,Matches!F5:F52,W20,Matches!K5:K52,W23)+SUMIFS(Matches!H5:H52,Matches!K5:K52,W20,Matches!F5:F52,W21)+SUMIFS(Matches!H5:H52,Matches!K5:K52,W20,Matches!F5:F52,W22)+SUMIFS(Matches!H5:H52,Matches!K5:K52,W20,Matches!F5:F52,W23)</f>
        <v>0</v>
      </c>
      <c r="AE20" s="189">
        <f t="shared" si="7"/>
        <v>0</v>
      </c>
      <c r="AF20" s="189">
        <f t="shared" si="8"/>
        <v>3</v>
      </c>
      <c r="AG20" s="189">
        <f t="shared" ref="AG20" si="147">IF(W20&lt;&gt;"",SUMPRODUCT((V20:V23=V20)*(AF20:AF23&gt;AF20)*1),0)</f>
        <v>0</v>
      </c>
      <c r="AH20" s="189">
        <f t="shared" ref="AH20" si="148">IF(W20&lt;&gt;"",SUMPRODUCT((AG20:AG23=AG20)*(AE20:AE23&gt;AE20)*1),0)</f>
        <v>0</v>
      </c>
      <c r="AI20" s="189">
        <f t="shared" si="0"/>
        <v>0</v>
      </c>
      <c r="AJ20" s="189">
        <f t="shared" ref="AJ20" si="149">IF(W20&lt;&gt;"",SUMPRODUCT((AI20:AI23=AI20)*(AG20:AG23=AG20)*(AC20:AC23&gt;AC20)*1),0)</f>
        <v>0</v>
      </c>
      <c r="AK20" s="189">
        <f t="shared" si="9"/>
        <v>1</v>
      </c>
      <c r="AL20" s="189">
        <v>0</v>
      </c>
      <c r="AM20" s="189">
        <v>0</v>
      </c>
      <c r="AN20" s="189">
        <v>0</v>
      </c>
      <c r="AO20" s="189">
        <v>0</v>
      </c>
      <c r="AP20" s="189">
        <v>0</v>
      </c>
      <c r="AQ20" s="189">
        <f t="shared" si="10"/>
        <v>0</v>
      </c>
      <c r="AR20" s="189">
        <f t="shared" si="11"/>
        <v>0</v>
      </c>
      <c r="AS20" s="189">
        <v>0</v>
      </c>
      <c r="AT20" s="189">
        <v>0</v>
      </c>
      <c r="AU20" s="189">
        <f t="shared" si="12"/>
        <v>0</v>
      </c>
      <c r="AV20" s="189">
        <v>0</v>
      </c>
      <c r="AW20" s="189">
        <f t="shared" si="13"/>
        <v>1</v>
      </c>
      <c r="AX20" s="189">
        <v>0</v>
      </c>
      <c r="AY20" s="189">
        <v>0</v>
      </c>
      <c r="AZ20" s="189">
        <v>0</v>
      </c>
      <c r="BA20" s="189">
        <v>0</v>
      </c>
      <c r="BB20" s="189">
        <v>0</v>
      </c>
      <c r="BC20" s="189">
        <v>0</v>
      </c>
      <c r="BD20" s="189">
        <v>0</v>
      </c>
      <c r="BE20" s="189">
        <v>0</v>
      </c>
      <c r="BF20" s="189">
        <v>0</v>
      </c>
      <c r="BG20" s="189">
        <v>0</v>
      </c>
      <c r="BH20" s="189">
        <v>0</v>
      </c>
      <c r="BI20" s="189">
        <f t="shared" si="17"/>
        <v>1</v>
      </c>
      <c r="BJ20" s="189">
        <f>SUMPRODUCT((BI20:BI23=BI20)*(A20:A23&gt;A20)*1)</f>
        <v>1</v>
      </c>
      <c r="BK20" s="189">
        <f t="shared" si="14"/>
        <v>2</v>
      </c>
      <c r="BM20" s="200"/>
      <c r="BN20" s="201"/>
      <c r="BO20" s="191" t="str">
        <f>Calculator!C17</f>
        <v>Tunisia</v>
      </c>
      <c r="BP20" s="191" t="s">
        <v>674</v>
      </c>
      <c r="BQ20" s="191"/>
      <c r="BR20" s="189">
        <v>14</v>
      </c>
      <c r="BS20" s="202">
        <v>-5.5</v>
      </c>
      <c r="BU20" s="22">
        <v>14</v>
      </c>
      <c r="BV20" s="193">
        <f t="shared" si="18"/>
        <v>44889.666666666664</v>
      </c>
      <c r="BW20" s="194">
        <v>44889.666666666664</v>
      </c>
      <c r="BX20" s="195">
        <f t="shared" si="19"/>
        <v>44889.666666666664</v>
      </c>
      <c r="BZ20" s="189" t="str">
        <f>INDEX(Language!$A$1:$K$117,MATCH(Setup!B21,Language!$B$1:$B$117,0),MATCH(Setup!$C$5,Language!$A$1:$J$1,0))</f>
        <v>Tunisia</v>
      </c>
    </row>
    <row r="21" spans="1:78" x14ac:dyDescent="0.35">
      <c r="A21" s="189">
        <f>INDEX(M4:M35,MATCH(U21,C4:C35,0),0)</f>
        <v>1553</v>
      </c>
      <c r="B21" s="189">
        <f t="shared" si="25"/>
        <v>2</v>
      </c>
      <c r="C21" s="189" t="str">
        <f t="shared" si="1"/>
        <v>Japan</v>
      </c>
      <c r="D21" s="189">
        <f t="shared" si="2"/>
        <v>0</v>
      </c>
      <c r="E21" s="189">
        <f>SUMPRODUCT((Matches!H5:H52&lt;&gt;"")*(Matches!F5:F52=C21)*(Matches!H5:H52&gt;Matches!I5:I52)*1)+SUMPRODUCT((Matches!H5:H52&lt;&gt;"")*(Matches!K5:K52=C21)*(Matches!I5:I52&gt;Matches!H5:H52)*1)</f>
        <v>0</v>
      </c>
      <c r="F21" s="189">
        <f>SUMPRODUCT((Matches!H5:H52&lt;&gt;"")*(Matches!F5:F52=C21)*(Matches!H5:H52=Matches!I5:I52)*1)+SUMPRODUCT((Matches!H5:H52&lt;&gt;"")*(Matches!K5:K52=C21)*(Matches!H5:H52=Matches!I5:I52)*1)</f>
        <v>0</v>
      </c>
      <c r="G21" s="189">
        <f>SUMPRODUCT((Matches!H5:H52&lt;&gt;"")*(Matches!F5:F52=C21)*(Matches!H5:H52&lt;Matches!I5:I52)*1)+SUMPRODUCT((Matches!H5:H52&lt;&gt;"")*(Matches!K5:K52=C21)*(Matches!I5:I52&lt;Matches!H5:H52)*1)</f>
        <v>0</v>
      </c>
      <c r="H21" s="189">
        <f>SUMIF(Matches!F5:F52,C21,Matches!H5:H52)+SUMIF(Matches!K5:K52,C21,Matches!I5:I52)</f>
        <v>0</v>
      </c>
      <c r="I21" s="189">
        <f>SUMIF(Matches!F5:F52,C21,Matches!I5:I52)+SUMIF(Matches!K5:K52,C21,Matches!H5:H52)</f>
        <v>0</v>
      </c>
      <c r="J21" s="189">
        <f t="shared" si="3"/>
        <v>0</v>
      </c>
      <c r="K21" s="189">
        <f t="shared" si="4"/>
        <v>0</v>
      </c>
      <c r="L21" s="189">
        <f>Setup!E25</f>
        <v>1553</v>
      </c>
      <c r="M21" s="189">
        <f>IF(Setup!F25&lt;&gt;"",Setup!F25,Setup!E25)</f>
        <v>1553</v>
      </c>
      <c r="N21" s="189">
        <f>RANK(K21,K20:K23)</f>
        <v>1</v>
      </c>
      <c r="O21" s="189">
        <f>SUMPRODUCT((N20:N23=N21)*(J20:J23&gt;J21)*1)</f>
        <v>0</v>
      </c>
      <c r="P21" s="189">
        <f t="shared" si="5"/>
        <v>1</v>
      </c>
      <c r="Q21" s="189">
        <f>SUMPRODUCT((N20:N23=N21)*(J20:J23=J21)*(H20:H23&gt;H21)*1)</f>
        <v>0</v>
      </c>
      <c r="R21" s="189">
        <f t="shared" si="6"/>
        <v>1</v>
      </c>
      <c r="S21" s="189">
        <f>RANK(R21,R20:R23,1)+COUNTIF(R20:R21,R21)-1</f>
        <v>2</v>
      </c>
      <c r="T21" s="189">
        <v>2</v>
      </c>
      <c r="U21" s="189" t="str">
        <f t="shared" ref="U21" si="150">INDEX(C20:C23,MATCH(T21,S20:S23,0),0)</f>
        <v>Japan</v>
      </c>
      <c r="V21" s="189">
        <f>INDEX(R20:R23,MATCH(U21,C20:C23,0),0)</f>
        <v>1</v>
      </c>
      <c r="W21" s="189" t="str">
        <f t="shared" ref="W21" si="151">IF(W20&lt;&gt;"",U21,"")</f>
        <v>Japan</v>
      </c>
      <c r="X21" s="189" t="str">
        <f t="shared" ref="X21" si="152">IF(V22=2,U21,"")</f>
        <v/>
      </c>
      <c r="Z21" s="189">
        <f>SUMPRODUCT((Matches!F5:F52=W21)*(Matches!K5:K52=W20)*(Matches!H5:H52&gt;Matches!I5:I52)*1)+SUMPRODUCT((Matches!K5:K52=W21)*(Matches!F5:F52=W20)*(Matches!I5:I52&gt;Matches!H5:H52)*1)+SUMPRODUCT((Matches!F5:F52=W21)*(Matches!K5:K52=W22)*(Matches!H5:H52&gt;Matches!I5:I52)*1)+SUMPRODUCT((Matches!K5:K52=W21)*(Matches!F5:F52=W22)*(Matches!I5:I52&gt;Matches!H5:H52)*1)+SUMPRODUCT((Matches!F5:F52=W21)*(Matches!K5:K52=W23)*(Matches!H5:H52&gt;Matches!I5:I52)*1)+SUMPRODUCT((Matches!K5:K52=W21)*(Matches!F5:F52=W23)*(Matches!I5:I52&gt;Matches!H5:H52)*1)</f>
        <v>0</v>
      </c>
      <c r="AA21" s="189">
        <f>SUMPRODUCT((Matches!F5:F52=W21)*(Matches!K5:K52=W20)*(Matches!H5:H52=Matches!I5:I52)*1)+SUMPRODUCT((Matches!K5:K52=W21)*(Matches!F5:F52=W20)*(Matches!H5:H52=Matches!I5:I52)*1)+SUMPRODUCT((Matches!F5:F52=W21)*(Matches!K5:K52=W22)*(Matches!H5:H52=Matches!I5:I52)*1)+SUMPRODUCT((Matches!K5:K52=W21)*(Matches!F5:F52=W22)*(Matches!H5:H52=Matches!I5:I52)*1)+SUMPRODUCT((Matches!F5:F52=W21)*(Matches!K5:K52=W23)*(Matches!H5:H52=Matches!I5:I52)*1)+SUMPRODUCT((Matches!K5:K52=W21)*(Matches!F5:F52=W23)*(Matches!H5:H52=Matches!I5:I52)*1)</f>
        <v>3</v>
      </c>
      <c r="AB21" s="189">
        <f>SUMPRODUCT((Matches!F5:F52=W21)*(Matches!K5:K52=W20)*(Matches!H5:H52&lt;Matches!I5:I52)*1)+SUMPRODUCT((Matches!K5:K52=W21)*(Matches!F5:F52=W20)*(Matches!I5:I52&lt;Matches!H5:H52)*1)+SUMPRODUCT((Matches!F5:F52=W21)*(Matches!K5:K52=W22)*(Matches!H5:H52&lt;Matches!I5:I52)*1)+SUMPRODUCT((Matches!K5:K52=W21)*(Matches!F5:F52=W22)*(Matches!I5:I52&lt;Matches!H5:H52)*1)+SUMPRODUCT((Matches!F5:F52=W21)*(Matches!K5:K52=W23)*(Matches!H5:H52&lt;Matches!I5:I52)*1)+SUMPRODUCT((Matches!K5:K52=W21)*(Matches!F5:F52=W23)*(Matches!I5:I52&lt;Matches!H5:H52)*1)</f>
        <v>0</v>
      </c>
      <c r="AC21" s="189">
        <f>SUMIFS(Matches!H5:H52,Matches!F5:F52,W21,Matches!K5:K52,W20)+SUMIFS(Matches!H5:H52,Matches!F5:F52,W21,Matches!K5:K52,W22)+SUMIFS(Matches!H5:H52,Matches!F5:F52,W21,Matches!K5:K52,W23)+SUMIFS(Matches!I5:I52,Matches!K5:K52,W21,Matches!F5:F52,W20)+SUMIFS(Matches!I5:I52,Matches!K5:K52,W21,Matches!F5:F52,W22)+SUMIFS(Matches!I5:I52,Matches!K5:K52,W21,Matches!F5:F52,W23)</f>
        <v>0</v>
      </c>
      <c r="AD21" s="189">
        <f>SUMIFS(Matches!I5:I52,Matches!F5:F52,W21,Matches!K5:K52,W20)+SUMIFS(Matches!I5:I52,Matches!F5:F52,W21,Matches!K5:K52,W22)+SUMIFS(Matches!I5:I52,Matches!F5:F52,W21,Matches!K5:K52,W23)+SUMIFS(Matches!H5:H52,Matches!K5:K52,W21,Matches!F5:F52,W20)+SUMIFS(Matches!H5:H52,Matches!K5:K52,W21,Matches!F5:F52,W22)+SUMIFS(Matches!H5:H52,Matches!K5:K52,W21,Matches!F5:F52,W23)</f>
        <v>0</v>
      </c>
      <c r="AE21" s="189">
        <f t="shared" si="7"/>
        <v>0</v>
      </c>
      <c r="AF21" s="189">
        <f t="shared" si="8"/>
        <v>3</v>
      </c>
      <c r="AG21" s="189">
        <f t="shared" ref="AG21" si="153">IF(W21&lt;&gt;"",SUMPRODUCT((V20:V23=V21)*(AF20:AF23&gt;AF21)*1),0)</f>
        <v>0</v>
      </c>
      <c r="AH21" s="189">
        <f t="shared" ref="AH21" si="154">IF(W21&lt;&gt;"",SUMPRODUCT((AG20:AG23=AG21)*(AE20:AE23&gt;AE21)*1),0)</f>
        <v>0</v>
      </c>
      <c r="AI21" s="189">
        <f t="shared" si="0"/>
        <v>0</v>
      </c>
      <c r="AJ21" s="189">
        <f t="shared" ref="AJ21" si="155">IF(W21&lt;&gt;"",SUMPRODUCT((AI20:AI23=AI21)*(AG20:AG23=AG21)*(AC20:AC23&gt;AC21)*1),0)</f>
        <v>0</v>
      </c>
      <c r="AK21" s="189">
        <f t="shared" si="9"/>
        <v>1</v>
      </c>
      <c r="AL21" s="189">
        <f>SUMPRODUCT((Matches!F5:F52=X21)*(Matches!K5:K52=X22)*(Matches!H5:H52&gt;Matches!I5:I52)*1)+SUMPRODUCT((Matches!K5:K52=X21)*(Matches!F5:F52=X22)*(Matches!I5:I52&gt;Matches!H5:H52)*1)+SUMPRODUCT((Matches!F5:F52=X21)*(Matches!K5:K52=X23)*(Matches!H5:H52&gt;Matches!I5:I52)*1)+SUMPRODUCT((Matches!K5:K52=X21)*(Matches!F5:F52=X23)*(Matches!I5:I52&gt;Matches!H5:H52)*1)</f>
        <v>0</v>
      </c>
      <c r="AM21" s="189">
        <f>SUMPRODUCT((Matches!F5:F52=X21)*(Matches!K5:K52=X22)*(Matches!H5:H52=Matches!I5:I52)*1)+SUMPRODUCT((Matches!K5:K52=X21)*(Matches!F5:F52=X22)*(Matches!H5:H52=Matches!I5:I52)*1)+SUMPRODUCT((Matches!F5:F52=X21)*(Matches!K5:K52=X23)*(Matches!H5:H52=Matches!I5:I52)*1)+SUMPRODUCT((Matches!K5:K52=X21)*(Matches!F5:F52=X23)*(Matches!H5:H52=Matches!I5:I52)*1)</f>
        <v>0</v>
      </c>
      <c r="AN21" s="189">
        <f>SUMPRODUCT((Matches!F5:F52=X21)*(Matches!K5:K52=X22)*(Matches!H5:H52&lt;Matches!I5:I52)*1)+SUMPRODUCT((Matches!K5:K52=X21)*(Matches!F5:F52=X22)*(Matches!I5:I52&lt;Matches!H5:H52)*1)+SUMPRODUCT((Matches!F5:F52=X21)*(Matches!K5:K52=X23)*(Matches!H5:H52&lt;Matches!I5:I52)*1)+SUMPRODUCT((Matches!K5:K52=X21)*(Matches!F5:F52=X23)*(Matches!I5:I52&lt;Matches!H5:H52)*1)</f>
        <v>0</v>
      </c>
      <c r="AO21" s="189">
        <f>SUMIFS(Matches!H5:H52,Matches!F5:F52,X21,Matches!K5:K52,X22)+SUMIFS(Matches!H5:H52,Matches!F5:F52,X21,Matches!K5:K52,X23)+SUMIFS(Matches!I5:I52,Matches!K5:K52,X21,Matches!F5:F52,X22)+SUMIFS(Matches!I5:I52,Matches!K5:K52,X21,Matches!F5:F52,X23)</f>
        <v>0</v>
      </c>
      <c r="AP21" s="189">
        <f>SUMIFS(Matches!I5:I52,Matches!F5:F52,X21,Matches!K5:K52,X22)+SUMIFS(Matches!I5:I52,Matches!F5:F52,X21,Matches!K5:K52,X23)+SUMIFS(Matches!H5:H52,Matches!K5:K52,X21,Matches!F5:F52,X22)+SUMIFS(Matches!H5:H52,Matches!K5:K52,X21,Matches!F5:F52,X23)</f>
        <v>0</v>
      </c>
      <c r="AQ21" s="189">
        <f t="shared" si="10"/>
        <v>0</v>
      </c>
      <c r="AR21" s="189">
        <f t="shared" si="11"/>
        <v>0</v>
      </c>
      <c r="AS21" s="189">
        <f t="shared" ref="AS21" si="156">IF(X21&lt;&gt;"",SUMPRODUCT((V20:V23=V21)*(AR20:AR23&gt;AR21)*1),0)</f>
        <v>0</v>
      </c>
      <c r="AT21" s="189">
        <f t="shared" ref="AT21" si="157">IF(X21&lt;&gt;"",SUMPRODUCT((AS20:AS23=AS21)*(AQ20:AQ23&gt;AQ21)*1),0)</f>
        <v>0</v>
      </c>
      <c r="AU21" s="189">
        <f t="shared" si="12"/>
        <v>0</v>
      </c>
      <c r="AV21" s="189">
        <f t="shared" ref="AV21" si="158">IF(X21&lt;&gt;"",SUMPRODUCT((AU20:AU23=AU21)*(AS20:AS23=AS21)*(AO20:AO23&gt;AO21)*1),0)</f>
        <v>0</v>
      </c>
      <c r="AW21" s="189">
        <f t="shared" si="13"/>
        <v>1</v>
      </c>
      <c r="AX21" s="189">
        <v>0</v>
      </c>
      <c r="AY21" s="189">
        <v>0</v>
      </c>
      <c r="AZ21" s="189">
        <v>0</v>
      </c>
      <c r="BA21" s="189">
        <v>0</v>
      </c>
      <c r="BB21" s="189">
        <v>0</v>
      </c>
      <c r="BC21" s="189">
        <v>0</v>
      </c>
      <c r="BD21" s="189">
        <v>0</v>
      </c>
      <c r="BE21" s="189">
        <v>0</v>
      </c>
      <c r="BF21" s="189">
        <v>0</v>
      </c>
      <c r="BG21" s="189">
        <v>0</v>
      </c>
      <c r="BH21" s="189">
        <v>0</v>
      </c>
      <c r="BI21" s="189">
        <f t="shared" si="17"/>
        <v>1</v>
      </c>
      <c r="BJ21" s="189">
        <f>SUMPRODUCT((BI20:BI23=BI21)*(A20:A23&gt;A21)*1)</f>
        <v>2</v>
      </c>
      <c r="BK21" s="189">
        <f t="shared" si="14"/>
        <v>3</v>
      </c>
      <c r="BM21" s="200"/>
      <c r="BN21" s="201"/>
      <c r="BO21" s="191" t="str">
        <f>Calculator!C18</f>
        <v>France</v>
      </c>
      <c r="BP21" s="191" t="s">
        <v>675</v>
      </c>
      <c r="BQ21" s="191"/>
      <c r="BR21" s="189">
        <v>15</v>
      </c>
      <c r="BS21" s="202">
        <v>-5</v>
      </c>
      <c r="BU21" s="22">
        <v>15</v>
      </c>
      <c r="BV21" s="193">
        <f t="shared" si="18"/>
        <v>44889.791666666664</v>
      </c>
      <c r="BW21" s="194">
        <v>44889.791666666664</v>
      </c>
      <c r="BX21" s="195">
        <f t="shared" si="19"/>
        <v>44889.791666666664</v>
      </c>
      <c r="BZ21" s="189" t="str">
        <f>INDEX(Language!$A$1:$K$117,MATCH(Setup!B22,Language!$B$1:$B$117,0),MATCH(Setup!$C$5,Language!$A$1:$J$1,0))</f>
        <v>France</v>
      </c>
    </row>
    <row r="22" spans="1:78" x14ac:dyDescent="0.35">
      <c r="A22" s="189">
        <f>INDEX(M4:M35,MATCH(U22,C4:C35,0),0)</f>
        <v>1709</v>
      </c>
      <c r="B22" s="189">
        <f t="shared" si="25"/>
        <v>3</v>
      </c>
      <c r="C22" s="189" t="str">
        <f t="shared" si="1"/>
        <v>Spain</v>
      </c>
      <c r="D22" s="189">
        <f t="shared" si="2"/>
        <v>0</v>
      </c>
      <c r="E22" s="189">
        <f>SUMPRODUCT((Matches!H5:H52&lt;&gt;"")*(Matches!F5:F52=C22)*(Matches!H5:H52&gt;Matches!I5:I52)*1)+SUMPRODUCT((Matches!H5:H52&lt;&gt;"")*(Matches!K5:K52=C22)*(Matches!I5:I52&gt;Matches!H5:H52)*1)</f>
        <v>0</v>
      </c>
      <c r="F22" s="189">
        <f>SUMPRODUCT((Matches!H5:H52&lt;&gt;"")*(Matches!F5:F52=C22)*(Matches!H5:H52=Matches!I5:I52)*1)+SUMPRODUCT((Matches!H5:H52&lt;&gt;"")*(Matches!K5:K52=C22)*(Matches!H5:H52=Matches!I5:I52)*1)</f>
        <v>0</v>
      </c>
      <c r="G22" s="189">
        <f>SUMPRODUCT((Matches!H5:H52&lt;&gt;"")*(Matches!F5:F52=C22)*(Matches!H5:H52&lt;Matches!I5:I52)*1)+SUMPRODUCT((Matches!H5:H52&lt;&gt;"")*(Matches!K5:K52=C22)*(Matches!I5:I52&lt;Matches!H5:H52)*1)</f>
        <v>0</v>
      </c>
      <c r="H22" s="189">
        <f>SUMIF(Matches!F5:F52,C22,Matches!H5:H52)+SUMIF(Matches!K5:K52,C22,Matches!I5:I52)</f>
        <v>0</v>
      </c>
      <c r="I22" s="189">
        <f>SUMIF(Matches!F5:F52,C22,Matches!I5:I52)+SUMIF(Matches!K5:K52,C22,Matches!H5:H52)</f>
        <v>0</v>
      </c>
      <c r="J22" s="189">
        <f t="shared" si="3"/>
        <v>0</v>
      </c>
      <c r="K22" s="189">
        <f t="shared" si="4"/>
        <v>0</v>
      </c>
      <c r="L22" s="189">
        <f>Setup!E26</f>
        <v>1709</v>
      </c>
      <c r="M22" s="189">
        <f>IF(Setup!F26&lt;&gt;"",Setup!F26,Setup!E26)</f>
        <v>1709</v>
      </c>
      <c r="N22" s="189">
        <f>RANK(K22,K20:K23)</f>
        <v>1</v>
      </c>
      <c r="O22" s="189">
        <f>SUMPRODUCT((N20:N23=N22)*(J20:J23&gt;J22)*1)</f>
        <v>0</v>
      </c>
      <c r="P22" s="189">
        <f t="shared" si="5"/>
        <v>1</v>
      </c>
      <c r="Q22" s="189">
        <f>SUMPRODUCT((N20:N23=N22)*(J20:J23=J22)*(H20:H23&gt;H22)*1)</f>
        <v>0</v>
      </c>
      <c r="R22" s="189">
        <f t="shared" si="6"/>
        <v>1</v>
      </c>
      <c r="S22" s="189">
        <f>RANK(R22,R20:R23,1)+COUNTIF(R20:R22,R22)-1</f>
        <v>3</v>
      </c>
      <c r="T22" s="189">
        <v>3</v>
      </c>
      <c r="U22" s="189" t="str">
        <f t="shared" ref="U22" si="159">INDEX(C20:C23,MATCH(T22,S20:S23,0),0)</f>
        <v>Spain</v>
      </c>
      <c r="V22" s="189">
        <f>INDEX(R20:R23,MATCH(U22,C20:C23,0),0)</f>
        <v>1</v>
      </c>
      <c r="W22" s="189" t="str">
        <f t="shared" ref="W22:W23" si="160">IF(AND(W21&lt;&gt;"",V22=1),U22,"")</f>
        <v>Spain</v>
      </c>
      <c r="X22" s="189" t="str">
        <f t="shared" ref="X22" si="161">IF(X21&lt;&gt;"",U22,"")</f>
        <v/>
      </c>
      <c r="Y22" s="189" t="str">
        <f t="shared" ref="Y22" si="162">IF(V23=3,U22,"")</f>
        <v/>
      </c>
      <c r="Z22" s="189">
        <f>SUMPRODUCT((Matches!F5:F52=W22)*(Matches!K5:K52=W20)*(Matches!H5:H52&gt;Matches!I5:I52)*1)+SUMPRODUCT((Matches!K5:K52=W22)*(Matches!F5:F52=W20)*(Matches!I5:I52&gt;Matches!H5:H52)*1)+SUMPRODUCT((Matches!F5:F52=W22)*(Matches!K5:K52=W21)*(Matches!H5:H52&gt;Matches!I5:I52)*1)+SUMPRODUCT((Matches!K5:K52=W22)*(Matches!F5:F52=W21)*(Matches!I5:I52&gt;Matches!H5:H52)*1)+SUMPRODUCT((Matches!F5:F52=W22)*(Matches!K5:K52=W23)*(Matches!H5:H52&gt;Matches!I5:I52)*1)+SUMPRODUCT((Matches!K5:K52=W22)*(Matches!F5:F52=W23)*(Matches!I5:I52&gt;Matches!H5:H52)*1)</f>
        <v>0</v>
      </c>
      <c r="AA22" s="189">
        <f>SUMPRODUCT((Matches!F5:F52=W22)*(Matches!K5:K52=W20)*(Matches!H5:H52=Matches!I5:I52)*1)+SUMPRODUCT((Matches!K5:K52=W22)*(Matches!F5:F52=W20)*(Matches!H5:H52=Matches!I5:I52)*1)+SUMPRODUCT((Matches!F5:F52=W22)*(Matches!K5:K52=W21)*(Matches!H5:H52=Matches!I5:I52)*1)+SUMPRODUCT((Matches!K5:K52=W22)*(Matches!F5:F52=W21)*(Matches!H5:H52=Matches!I5:I52)*1)+SUMPRODUCT((Matches!F5:F52=W22)*(Matches!K5:K52=W23)*(Matches!H5:H52=Matches!I5:I52)*1)+SUMPRODUCT((Matches!K5:K52=W22)*(Matches!F5:F52=W23)*(Matches!H5:H52=Matches!I5:I52)*1)</f>
        <v>3</v>
      </c>
      <c r="AB22" s="189">
        <f>SUMPRODUCT((Matches!F5:F52=W22)*(Matches!K5:K52=W20)*(Matches!H5:H52&lt;Matches!I5:I52)*1)+SUMPRODUCT((Matches!K5:K52=W22)*(Matches!F5:F52=W20)*(Matches!I5:I52&lt;Matches!H5:H52)*1)+SUMPRODUCT((Matches!F5:F52=W22)*(Matches!K5:K52=W21)*(Matches!H5:H52&lt;Matches!I5:I52)*1)+SUMPRODUCT((Matches!K5:K52=W22)*(Matches!F5:F52=W21)*(Matches!I5:I52&lt;Matches!H5:H52)*1)+SUMPRODUCT((Matches!F5:F52=W22)*(Matches!K5:K52=W23)*(Matches!H5:H52&lt;Matches!I5:I52)*1)+SUMPRODUCT((Matches!K5:K52=W22)*(Matches!F5:F52=W23)*(Matches!I5:I52&lt;Matches!H5:H52)*1)</f>
        <v>0</v>
      </c>
      <c r="AC22" s="189">
        <f>SUMIFS(Matches!H5:H52,Matches!F5:F52,W22,Matches!K5:K52,W20)+SUMIFS(Matches!H5:H52,Matches!F5:F52,W22,Matches!K5:K52,W21)+SUMIFS(Matches!H5:H52,Matches!F5:F52,W22,Matches!K5:K52,W23)+SUMIFS(Matches!I5:I52,Matches!K5:K52,W22,Matches!F5:F52,W20)+SUMIFS(Matches!I5:I52,Matches!K5:K52,W22,Matches!F5:F52,W21)+SUMIFS(Matches!I5:I52,Matches!K5:K52,W22,Matches!F5:F52,W23)</f>
        <v>0</v>
      </c>
      <c r="AD22" s="189">
        <f>SUMIFS(Matches!I5:I52,Matches!F5:F52,W22,Matches!K5:K52,W20)+SUMIFS(Matches!I5:I52,Matches!F5:F52,W22,Matches!K5:K52,W21)+SUMIFS(Matches!I5:I52,Matches!F5:F52,W22,Matches!K5:K52,W23)+SUMIFS(Matches!H5:H52,Matches!K5:K52,W22,Matches!F5:F52,W20)+SUMIFS(Matches!H5:H52,Matches!K5:K52,W22,Matches!F5:F52,W21)+SUMIFS(Matches!H5:H52,Matches!K5:K52,W22,Matches!F5:F52,W23)</f>
        <v>0</v>
      </c>
      <c r="AE22" s="189">
        <f t="shared" si="7"/>
        <v>0</v>
      </c>
      <c r="AF22" s="189">
        <f t="shared" si="8"/>
        <v>3</v>
      </c>
      <c r="AG22" s="189">
        <f t="shared" ref="AG22" si="163">IF(W22&lt;&gt;"",SUMPRODUCT((V20:V23=V22)*(AF20:AF23&gt;AF22)*1),0)</f>
        <v>0</v>
      </c>
      <c r="AH22" s="189">
        <f t="shared" ref="AH22" si="164">IF(W22&lt;&gt;"",SUMPRODUCT((AG20:AG23=AG22)*(AE20:AE23&gt;AE22)*1),0)</f>
        <v>0</v>
      </c>
      <c r="AI22" s="189">
        <f t="shared" si="0"/>
        <v>0</v>
      </c>
      <c r="AJ22" s="189">
        <f t="shared" ref="AJ22" si="165">IF(W22&lt;&gt;"",SUMPRODUCT((AI20:AI23=AI22)*(AG20:AG23=AG22)*(AC20:AC23&gt;AC22)*1),0)</f>
        <v>0</v>
      </c>
      <c r="AK22" s="189">
        <f t="shared" si="9"/>
        <v>1</v>
      </c>
      <c r="AL22" s="189">
        <f>SUMPRODUCT((Matches!F5:F52=X22)*(Matches!K5:K52=X21)*(Matches!H5:H52&gt;Matches!I5:I52)*1)+SUMPRODUCT((Matches!K5:K52=X22)*(Matches!F5:F52=X21)*(Matches!I5:I52&gt;Matches!H5:H52)*1)+SUMPRODUCT((Matches!F5:F52=X22)*(Matches!K5:K52=X23)*(Matches!H5:H52&gt;Matches!I5:I52)*1)+SUMPRODUCT((Matches!K5:K52=X22)*(Matches!F5:F52=X23)*(Matches!I5:I52&gt;Matches!H5:H52)*1)</f>
        <v>0</v>
      </c>
      <c r="AM22" s="189">
        <f>SUMPRODUCT((Matches!F5:F52=X22)*(Matches!K5:K52=X21)*(Matches!H5:H52=Matches!I5:I52)*1)+SUMPRODUCT((Matches!K5:K52=X22)*(Matches!F5:F52=X21)*(Matches!H5:H52=Matches!I5:I52)*1)+SUMPRODUCT((Matches!F5:F52=X22)*(Matches!K5:K52=X23)*(Matches!H5:H52=Matches!I5:I52)*1)+SUMPRODUCT((Matches!K5:K52=X22)*(Matches!F5:F52=X23)*(Matches!H5:H52=Matches!I5:I52)*1)</f>
        <v>0</v>
      </c>
      <c r="AN22" s="189">
        <f>SUMPRODUCT((Matches!F5:F52=X22)*(Matches!K5:K52=X21)*(Matches!H5:H52&lt;Matches!I5:I52)*1)+SUMPRODUCT((Matches!K5:K52=X22)*(Matches!F5:F52=X21)*(Matches!I5:I52&lt;Matches!H5:H52)*1)+SUMPRODUCT((Matches!F5:F52=X22)*(Matches!K5:K52=X23)*(Matches!H5:H52&lt;Matches!I5:I52)*1)+SUMPRODUCT((Matches!K5:K52=X22)*(Matches!F5:F52=X23)*(Matches!I5:I52&lt;Matches!H5:H52)*1)</f>
        <v>0</v>
      </c>
      <c r="AO22" s="189">
        <f>SUMIFS(Matches!H5:H52,Matches!F5:F52,X22,Matches!K5:K52,X21)+SUMIFS(Matches!H5:H52,Matches!F5:F52,X22,Matches!K5:K52,X23)+SUMIFS(Matches!I5:I52,Matches!K5:K52,X22,Matches!F5:F52,X21)+SUMIFS(Matches!I5:I52,Matches!K5:K52,X22,Matches!F5:F52,X23)</f>
        <v>0</v>
      </c>
      <c r="AP22" s="189">
        <f>SUMIFS(Matches!I5:I52,Matches!F5:F52,X22,Matches!K5:K52,X21)+SUMIFS(Matches!I5:I52,Matches!F5:F52,X22,Matches!K5:K52,X23)+SUMIFS(Matches!H5:H52,Matches!K5:K52,X22,Matches!F5:F52,X21)+SUMIFS(Matches!H5:H52,Matches!K5:K52,X22,Matches!F5:F52,X23)</f>
        <v>0</v>
      </c>
      <c r="AQ22" s="189">
        <f t="shared" si="10"/>
        <v>0</v>
      </c>
      <c r="AR22" s="189">
        <f t="shared" si="11"/>
        <v>0</v>
      </c>
      <c r="AS22" s="189">
        <f t="shared" ref="AS22" si="166">IF(X22&lt;&gt;"",SUMPRODUCT((V20:V23=V22)*(AR20:AR23&gt;AR22)*1),0)</f>
        <v>0</v>
      </c>
      <c r="AT22" s="189">
        <f t="shared" ref="AT22" si="167">IF(X22&lt;&gt;"",SUMPRODUCT((AS20:AS23=AS22)*(AQ20:AQ23&gt;AQ22)*1),0)</f>
        <v>0</v>
      </c>
      <c r="AU22" s="189">
        <f t="shared" si="12"/>
        <v>0</v>
      </c>
      <c r="AV22" s="189">
        <f t="shared" ref="AV22" si="168">IF(X22&lt;&gt;"",SUMPRODUCT((AU20:AU23=AU22)*(AS20:AS23=AS22)*(AO20:AO23&gt;AO22)*1),0)</f>
        <v>0</v>
      </c>
      <c r="AW22" s="189">
        <f t="shared" si="13"/>
        <v>1</v>
      </c>
      <c r="AX22" s="189">
        <f>SUMPRODUCT((Matches!F5:F52=Y22)*(Matches!K5:K52=Y23)*(Matches!H5:H52&gt;Matches!I5:I52)*1)+SUMPRODUCT((Matches!K5:K52=Y22)*(Matches!F5:F52=Y23)*(Matches!I5:I52&gt;Matches!H5:H52)*1)</f>
        <v>0</v>
      </c>
      <c r="AY22" s="189">
        <f>SUMPRODUCT((Matches!F5:F52=Y22)*(Matches!K5:K52=Y23)*(Matches!H5:H52=Matches!I5:I52)*1)+SUMPRODUCT((Matches!K5:K52=Y22)*(Matches!F5:F52=Y23)*(Matches!I5:I52=Matches!H5:H52)*1)</f>
        <v>0</v>
      </c>
      <c r="AZ22" s="189">
        <f>SUMPRODUCT((Matches!F5:F52=Y22)*(Matches!K5:K52=Y23)*(Matches!H5:H52&lt;Matches!I5:I52)*1)+SUMPRODUCT((Matches!K5:K52=Y22)*(Matches!F5:F52=Y23)*(Matches!I5:I52&lt;Matches!H5:H52)*1)</f>
        <v>0</v>
      </c>
      <c r="BA22" s="189">
        <f>SUMIFS(Matches!H5:H52,Matches!F5:F52,Y22,Matches!K5:K52,Y23)+SUMIFS(Matches!I5:I52,Matches!K5:K52,Y22,Matches!F5:F52,Y23)</f>
        <v>0</v>
      </c>
      <c r="BB22" s="189">
        <f>SUMIFS(Matches!I5:I52,Matches!F5:F52,Y22,Matches!K5:K52,Y23)+SUMIFS(Matches!H5:H52,Matches!K5:K52,Y22,Matches!F5:F52,Y23)</f>
        <v>0</v>
      </c>
      <c r="BC22" s="189">
        <f t="shared" ref="BC22:BC23" si="169">BA22-BB22</f>
        <v>0</v>
      </c>
      <c r="BD22" s="189">
        <f t="shared" ref="BD22:BD23" si="170">AY22*1+AX22*3</f>
        <v>0</v>
      </c>
      <c r="BE22" s="189">
        <f t="shared" ref="BE22" si="171">IF(Y22&lt;&gt;"",SUMPRODUCT((AH20:AH23=AH22)*(BD20:BD23&gt;BD22)*1),0)</f>
        <v>0</v>
      </c>
      <c r="BF22" s="189">
        <f t="shared" ref="BF22" si="172">IF(Y22&lt;&gt;"",SUMPRODUCT((BE20:BE23=BE22)*(BC20:BC23&gt;BC22)*1),0)</f>
        <v>0</v>
      </c>
      <c r="BG22" s="189">
        <f t="shared" ref="BG22:BG23" si="173">BE22+BF22</f>
        <v>0</v>
      </c>
      <c r="BH22" s="189">
        <f t="shared" ref="BH22" si="174">IF(Y22&lt;&gt;"",SUMPRODUCT((BG20:BG23=BG22)*(BE20:BE23=BE22)*(BA20:BA23&gt;BA22)*1),0)</f>
        <v>0</v>
      </c>
      <c r="BI22" s="189">
        <f t="shared" si="17"/>
        <v>1</v>
      </c>
      <c r="BJ22" s="189">
        <f>SUMPRODUCT((BI20:BI23=BI22)*(A20:A23&gt;A22)*1)</f>
        <v>0</v>
      </c>
      <c r="BK22" s="189">
        <f t="shared" si="14"/>
        <v>1</v>
      </c>
      <c r="BM22" s="200"/>
      <c r="BN22" s="201"/>
      <c r="BO22" s="191" t="str">
        <f>Calculator!C19</f>
        <v>Australia</v>
      </c>
      <c r="BP22" s="191" t="s">
        <v>676</v>
      </c>
      <c r="BQ22" s="191"/>
      <c r="BR22" s="189">
        <v>16</v>
      </c>
      <c r="BS22" s="202">
        <v>-4.5</v>
      </c>
      <c r="BU22" s="22">
        <v>16</v>
      </c>
      <c r="BV22" s="193">
        <f t="shared" si="18"/>
        <v>44889.916666666664</v>
      </c>
      <c r="BW22" s="194">
        <v>44889.916666666664</v>
      </c>
      <c r="BX22" s="195">
        <f t="shared" si="19"/>
        <v>44889.916666666664</v>
      </c>
      <c r="BZ22" s="189" t="str">
        <f>INDEX(Language!$A$1:$K$117,MATCH(Setup!B23,Language!$B$1:$B$117,0),MATCH(Setup!$C$5,Language!$A$1:$J$1,0))</f>
        <v>Australia</v>
      </c>
    </row>
    <row r="23" spans="1:78" ht="15.5" x14ac:dyDescent="0.35">
      <c r="A23" s="189">
        <f>INDEX(M4:M35,MATCH(U23,C4:C35,0),0)</f>
        <v>1503</v>
      </c>
      <c r="B23" s="189">
        <f t="shared" si="25"/>
        <v>4</v>
      </c>
      <c r="C23" s="189" t="str">
        <f t="shared" si="1"/>
        <v>Costa Rica</v>
      </c>
      <c r="D23" s="189">
        <f t="shared" si="2"/>
        <v>0</v>
      </c>
      <c r="E23" s="189">
        <f>SUMPRODUCT((Matches!H5:H52&lt;&gt;"")*(Matches!F5:F52=C23)*(Matches!H5:H52&gt;Matches!I5:I52)*1)+SUMPRODUCT((Matches!H5:H52&lt;&gt;"")*(Matches!K5:K52=C23)*(Matches!I5:I52&gt;Matches!H5:H52)*1)</f>
        <v>0</v>
      </c>
      <c r="F23" s="189">
        <f>SUMPRODUCT((Matches!H5:H52&lt;&gt;"")*(Matches!F5:F52=C23)*(Matches!H5:H52=Matches!I5:I52)*1)+SUMPRODUCT((Matches!H5:H52&lt;&gt;"")*(Matches!K5:K52=C23)*(Matches!H5:H52=Matches!I5:I52)*1)</f>
        <v>0</v>
      </c>
      <c r="G23" s="189">
        <f>SUMPRODUCT((Matches!H5:H52&lt;&gt;"")*(Matches!F5:F52=C23)*(Matches!H5:H52&lt;Matches!I5:I52)*1)+SUMPRODUCT((Matches!H5:H52&lt;&gt;"")*(Matches!K5:K52=C23)*(Matches!I5:I52&lt;Matches!H5:H52)*1)</f>
        <v>0</v>
      </c>
      <c r="H23" s="189">
        <f>SUMIF(Matches!F5:F52,C23,Matches!H5:H52)+SUMIF(Matches!K5:K52,C23,Matches!I5:I52)</f>
        <v>0</v>
      </c>
      <c r="I23" s="189">
        <f>SUMIF(Matches!F5:F52,C23,Matches!I5:I52)+SUMIF(Matches!K5:K52,C23,Matches!H5:H52)</f>
        <v>0</v>
      </c>
      <c r="J23" s="189">
        <f t="shared" si="3"/>
        <v>0</v>
      </c>
      <c r="K23" s="189">
        <f t="shared" si="4"/>
        <v>0</v>
      </c>
      <c r="L23" s="189">
        <f>Setup!E27</f>
        <v>1503</v>
      </c>
      <c r="M23" s="189">
        <f>IF(Setup!F27&lt;&gt;"",Setup!F27,Setup!E27)</f>
        <v>1503</v>
      </c>
      <c r="N23" s="189">
        <f>RANK(K23,K20:K23)</f>
        <v>1</v>
      </c>
      <c r="O23" s="189">
        <f>SUMPRODUCT((N20:N23=N23)*(J20:J23&gt;J23)*1)</f>
        <v>0</v>
      </c>
      <c r="P23" s="189">
        <f t="shared" si="5"/>
        <v>1</v>
      </c>
      <c r="Q23" s="189">
        <f>SUMPRODUCT((N20:N23=N23)*(J20:J23=J23)*(H20:H23&gt;H23)*1)</f>
        <v>0</v>
      </c>
      <c r="R23" s="189">
        <f t="shared" si="6"/>
        <v>1</v>
      </c>
      <c r="S23" s="189">
        <f>RANK(R23,R20:R23,1)+COUNTIF(R20:R23,R23)-1</f>
        <v>4</v>
      </c>
      <c r="T23" s="189">
        <v>4</v>
      </c>
      <c r="U23" s="189" t="str">
        <f t="shared" ref="U23" si="175">INDEX(C20:C23,MATCH(T23,S20:S23,0),0)</f>
        <v>Costa Rica</v>
      </c>
      <c r="V23" s="189">
        <f>INDEX(R20:R23,MATCH(U23,C20:C23,0),0)</f>
        <v>1</v>
      </c>
      <c r="W23" s="189" t="str">
        <f t="shared" si="160"/>
        <v>Costa Rica</v>
      </c>
      <c r="X23" s="189" t="str">
        <f t="shared" ref="X23" si="176">IF(AND(X22&lt;&gt;"",V23=2),U23,"")</f>
        <v/>
      </c>
      <c r="Y23" s="189" t="str">
        <f t="shared" ref="Y23" si="177">IF(AND(Y22&lt;&gt;"",V23=3),U23,"")</f>
        <v/>
      </c>
      <c r="Z23" s="189">
        <f>SUMPRODUCT((Matches!F5:F52=W23)*(Matches!K5:K52=W20)*(Matches!H5:H52&gt;Matches!I5:I52)*1)+SUMPRODUCT((Matches!K5:K52=W23)*(Matches!F5:F52=W20)*(Matches!I5:I52&gt;Matches!H5:H52)*1)+SUMPRODUCT((Matches!F5:F52=W23)*(Matches!K5:K52=W21)*(Matches!H5:H52&gt;Matches!I5:I52)*1)+SUMPRODUCT((Matches!K5:K52=W23)*(Matches!F5:F52=W21)*(Matches!I5:I52&gt;Matches!H5:H52)*1)+SUMPRODUCT((Matches!F5:F52=W23)*(Matches!K5:K52=W22)*(Matches!H5:H52&gt;Matches!I5:I52)*1)+SUMPRODUCT((Matches!K5:K52=W23)*(Matches!F5:F52=W22)*(Matches!I5:I52&gt;Matches!H5:H52)*1)</f>
        <v>0</v>
      </c>
      <c r="AA23" s="189">
        <f>SUMPRODUCT((Matches!F5:F52=W23)*(Matches!K5:K52=W20)*(Matches!H5:H52&gt;=Matches!I5:I52)*1)+SUMPRODUCT((Matches!K5:K52=W23)*(Matches!F5:F52=W20)*(Matches!H5:H52=Matches!I5:I52)*1)+SUMPRODUCT((Matches!F5:F52=W23)*(Matches!K5:K52=W21)*(Matches!H5:H52=Matches!I5:I52)*1)+SUMPRODUCT((Matches!K5:K52=W23)*(Matches!F5:F52=W21)*(Matches!H5:H52=Matches!I5:I52)*1)+SUMPRODUCT((Matches!F5:F52=W23)*(Matches!K5:K52=W22)*(Matches!H5:H52=Matches!I5:I52)*1)+SUMPRODUCT((Matches!K5:K52=W23)*(Matches!F5:F52=W22)*(Matches!H5:H52=Matches!I5:I52)*1)</f>
        <v>3</v>
      </c>
      <c r="AB23" s="189">
        <f>SUMPRODUCT((Matches!F5:F52=W23)*(Matches!K5:K52=W20)*(Matches!H5:H52&lt;Matches!I5:I52)*1)+SUMPRODUCT((Matches!K5:K52=W23)*(Matches!F5:F52=W20)*(Matches!I5:I52&lt;Matches!H5:H52)*1)+SUMPRODUCT((Matches!F5:F52=W23)*(Matches!K5:K52=W21)*(Matches!H5:H52&lt;Matches!I5:I52)*1)+SUMPRODUCT((Matches!K5:K52=W23)*(Matches!F5:F52=W21)*(Matches!I5:I52&lt;Matches!H5:H52)*1)+SUMPRODUCT((Matches!F5:F52=W23)*(Matches!K5:K52=W22)*(Matches!H5:H52&lt;Matches!I5:I52)*1)+SUMPRODUCT((Matches!K5:K52=W23)*(Matches!F5:F52=W22)*(Matches!I5:I52&lt;Matches!H5:H52)*1)</f>
        <v>0</v>
      </c>
      <c r="AC23" s="189">
        <f>SUMIFS(Matches!H5:H52,Matches!F5:F52,W23,Matches!K5:K52,W20)+SUMIFS(Matches!H5:H52,Matches!F5:F52,W23,Matches!K5:K52,W21)+SUMIFS(Matches!H5:H52,Matches!F5:F52,W23,Matches!K5:K52,W22)+SUMIFS(Matches!I5:I52,Matches!K5:K52,W23,Matches!F5:F52,W20)+SUMIFS(Matches!I5:I52,Matches!K5:K52,W23,Matches!F5:F52,W21)+SUMIFS(Matches!I5:I52,Matches!K5:K52,W23,Matches!F5:F52,W22)</f>
        <v>0</v>
      </c>
      <c r="AD23" s="189">
        <f>SUMIFS(Matches!I5:I52,Matches!F5:F52,W23,Matches!K5:K52,W20)+SUMIFS(Matches!I5:I52,Matches!F5:F52,W23,Matches!K5:K52,W21)+SUMIFS(Matches!I5:I52,Matches!F5:F52,W23,Matches!K5:K52,W22)+SUMIFS(Matches!H5:H52,Matches!K5:K52,W23,Matches!F5:F52,W20)+SUMIFS(Matches!H5:H52,Matches!K5:K52,W23,Matches!F5:F52,W21)+SUMIFS(Matches!H5:H52,Matches!K5:K52,W23,Matches!F5:F52,W22)</f>
        <v>0</v>
      </c>
      <c r="AE23" s="189">
        <f t="shared" si="7"/>
        <v>0</v>
      </c>
      <c r="AF23" s="189">
        <f t="shared" si="8"/>
        <v>3</v>
      </c>
      <c r="AG23" s="189">
        <f t="shared" ref="AG23" si="178">IF(W23&lt;&gt;"",SUMPRODUCT((V20:V23=V23)*(AF20:AF23&gt;AF23)*1),0)</f>
        <v>0</v>
      </c>
      <c r="AH23" s="189">
        <f t="shared" ref="AH23" si="179">IF(W23&lt;&gt;"",SUMPRODUCT((AG20:AG23=AG23)*(AE20:AE23&gt;AE23)*1),0)</f>
        <v>0</v>
      </c>
      <c r="AI23" s="189">
        <f t="shared" si="0"/>
        <v>0</v>
      </c>
      <c r="AJ23" s="189">
        <f t="shared" ref="AJ23" si="180">IF(W23&lt;&gt;"",SUMPRODUCT((AI20:AI23=AI23)*(AG20:AG23=AG23)*(AC20:AC23&gt;AC23)*1),0)</f>
        <v>0</v>
      </c>
      <c r="AK23" s="189">
        <f t="shared" si="9"/>
        <v>1</v>
      </c>
      <c r="AL23" s="189">
        <f>SUMPRODUCT((Matches!F5:F52=X23)*(Matches!K5:K52=X21)*(Matches!H5:H52&gt;Matches!I5:I52)*1)+SUMPRODUCT((Matches!K5:K52=X23)*(Matches!F5:F52=X21)*(Matches!I5:I52&gt;Matches!H5:H52)*1)+SUMPRODUCT((Matches!F5:F52=X23)*(Matches!K5:K52=X22)*(Matches!H5:H52&gt;Matches!I5:I52)*1)+SUMPRODUCT((Matches!K5:K52=X23)*(Matches!F5:F52=X22)*(Matches!I5:I52&gt;Matches!H5:H52)*1)</f>
        <v>0</v>
      </c>
      <c r="AM23" s="189">
        <f>SUMPRODUCT((Matches!F5:F52=X23)*(Matches!K5:K52=X21)*(Matches!H5:H52=Matches!I5:I52)*1)+SUMPRODUCT((Matches!K5:K52=X23)*(Matches!F5:F52=X21)*(Matches!H5:H52=Matches!I5:I52)*1)+SUMPRODUCT((Matches!F5:F52=X23)*(Matches!K5:K52=X22)*(Matches!H5:H52=Matches!I5:I52)*1)+SUMPRODUCT((Matches!K5:K52=X23)*(Matches!F5:F52=X22)*(Matches!H5:H52=Matches!I5:I52)*1)</f>
        <v>0</v>
      </c>
      <c r="AN23" s="189">
        <f>SUMPRODUCT((Matches!F5:F52=X23)*(Matches!K5:K52=X21)*(Matches!H5:H52&lt;Matches!I5:I52)*1)+SUMPRODUCT((Matches!K5:K52=X23)*(Matches!F5:F52=X21)*(Matches!I5:I52&lt;Matches!H5:H52)*1)+SUMPRODUCT((Matches!F5:F52=X23)*(Matches!K5:K52=X22)*(Matches!H5:H52&lt;Matches!I5:I52)*1)+SUMPRODUCT((Matches!K5:K52=X23)*(Matches!F5:F52=X22)*(Matches!I5:I52&lt;Matches!H5:H52)*1)</f>
        <v>0</v>
      </c>
      <c r="AO23" s="189">
        <f>SUMIFS(Matches!H5:H52,Matches!F5:F52,X23,Matches!K5:K52,X21)+SUMIFS(Matches!H5:H52,Matches!F5:F52,X23,Matches!K5:K52,X22)+SUMIFS(Matches!I5:I52,Matches!K5:K52,X23,Matches!F5:F52,X21)+SUMIFS(Matches!I5:I52,Matches!K5:K52,X23,Matches!F5:F52,X22)</f>
        <v>0</v>
      </c>
      <c r="AP23" s="189">
        <f>SUMIFS(Matches!H5:H52,Matches!F5:F52,X23,Matches!K5:K52,X21)+SUMIFS(Matches!H5:H52,Matches!F5:F52,X23,Matches!K5:K52,X22)+SUMIFS(Matches!I5:I52,Matches!K5:K52,X23,Matches!F5:F52,X21)+SUMIFS(Matches!I5:I52,Matches!K5:K52,X23,Matches!F5:F52,X22)</f>
        <v>0</v>
      </c>
      <c r="AQ23" s="189">
        <f t="shared" si="10"/>
        <v>0</v>
      </c>
      <c r="AR23" s="189">
        <f t="shared" si="11"/>
        <v>0</v>
      </c>
      <c r="AS23" s="189">
        <f t="shared" ref="AS23" si="181">IF(X23&lt;&gt;"",SUMPRODUCT((V20:V23=V23)*(AR20:AR23&gt;AR23)*1),0)</f>
        <v>0</v>
      </c>
      <c r="AT23" s="189">
        <f t="shared" ref="AT23" si="182">IF(X23&lt;&gt;"",SUMPRODUCT((AS20:AS23=AS23)*(AQ20:AQ23&gt;AQ23)*1),0)</f>
        <v>0</v>
      </c>
      <c r="AU23" s="189">
        <f t="shared" si="12"/>
        <v>0</v>
      </c>
      <c r="AV23" s="189">
        <f t="shared" ref="AV23" si="183">IF(X23&lt;&gt;"",SUMPRODUCT((AU20:AU23=AU23)*(AS20:AS23=AS23)*(AO20:AO23&gt;AO23)*1),0)</f>
        <v>0</v>
      </c>
      <c r="AW23" s="189">
        <f t="shared" si="13"/>
        <v>1</v>
      </c>
      <c r="AX23" s="189">
        <f>SUMPRODUCT((Matches!F5:F52=Y23)*(Matches!K5:K52=Y22)*(Matches!H5:H52&gt;Matches!I5:I52)*1)+SUMPRODUCT((Matches!K5:K52=Y23)*(Matches!F5:F52=Y22)*(Matches!I5:I52&gt;Matches!H5:H52)*1)</f>
        <v>0</v>
      </c>
      <c r="AY23" s="189">
        <f>SUMPRODUCT((Matches!F5:F52=Y23)*(Matches!K5:K52=Y22)*(Matches!H5:H52=Matches!I5:I52)*1)+SUMPRODUCT((Matches!K5:K52=Y23)*(Matches!F5:F52=Y22)*(Matches!I5:I52=Matches!H5:H52)*1)</f>
        <v>0</v>
      </c>
      <c r="AZ23" s="189">
        <f>SUMPRODUCT((Matches!F5:F52=Y23)*(Matches!K5:K52=Y22)*(Matches!H5:H52&lt;Matches!I5:I52)*1)+SUMPRODUCT((Matches!K5:K52=Y23)*(Matches!F5:F52=Y22)*(Matches!I5:I52&lt;Matches!H5:H52)*1)</f>
        <v>0</v>
      </c>
      <c r="BA23" s="189">
        <f>SUMIFS(Matches!H5:H52,Matches!F5:F52,Y23,Matches!K5:K52,Y22)+SUMIFS(Matches!I5:I52,Matches!K5:K52,Y23,Matches!F5:F52,Y22)</f>
        <v>0</v>
      </c>
      <c r="BB23" s="189">
        <f>SUMIFS(Matches!H5:H52,Matches!F5:F52,Y23,Matches!K5:K52,Y22)+SUMIFS(Matches!I5:I52,Matches!K5:K52,Y23,Matches!F5:F52,Y22)</f>
        <v>0</v>
      </c>
      <c r="BC23" s="189">
        <f t="shared" si="169"/>
        <v>0</v>
      </c>
      <c r="BD23" s="189">
        <f t="shared" si="170"/>
        <v>0</v>
      </c>
      <c r="BE23" s="189">
        <f t="shared" ref="BE23" si="184">IF(Y23&lt;&gt;"",SUMPRODUCT((AH20:AH23=AH23)*(BD20:BD23&gt;BD23)*1),0)</f>
        <v>0</v>
      </c>
      <c r="BF23" s="189">
        <f t="shared" ref="BF23" si="185">IF(Y23&lt;&gt;"",SUMPRODUCT((BE20:BE23=BE23)*(BC20:BC23&gt;BC23)*1),0)</f>
        <v>0</v>
      </c>
      <c r="BG23" s="189">
        <f t="shared" si="173"/>
        <v>0</v>
      </c>
      <c r="BH23" s="189">
        <f t="shared" ref="BH23" si="186">IF(Y23&lt;&gt;"",SUMPRODUCT((BG20:BG23=BG23)*(BE20:BE23=BE23)*(BA20:BA23&gt;BA23)*1),0)</f>
        <v>0</v>
      </c>
      <c r="BI23" s="189">
        <f t="shared" si="17"/>
        <v>1</v>
      </c>
      <c r="BJ23" s="189">
        <f>SUMPRODUCT((BI20:BI23=BI23)*(A20:A23&gt;A23)*1)</f>
        <v>3</v>
      </c>
      <c r="BK23" s="189">
        <f t="shared" si="14"/>
        <v>4</v>
      </c>
      <c r="BM23" s="200" t="s">
        <v>135</v>
      </c>
      <c r="BN23" s="201"/>
      <c r="BO23" s="191" t="str">
        <f>Calculator!C20</f>
        <v>Germany</v>
      </c>
      <c r="BP23" s="191" t="s">
        <v>677</v>
      </c>
      <c r="BQ23" s="191"/>
      <c r="BR23" s="189">
        <v>17</v>
      </c>
      <c r="BS23" s="202">
        <v>-4</v>
      </c>
      <c r="BU23" s="22">
        <v>17</v>
      </c>
      <c r="BV23" s="193">
        <f t="shared" si="18"/>
        <v>44890.541666666664</v>
      </c>
      <c r="BW23" s="194">
        <v>44890.541666666664</v>
      </c>
      <c r="BX23" s="195">
        <f t="shared" si="19"/>
        <v>44890.541666666664</v>
      </c>
      <c r="BZ23" s="189" t="str">
        <f>INDEX(Language!$A$1:$K$117,MATCH(Setup!B24,Language!$B$1:$B$117,0),MATCH(Setup!$C$5,Language!$A$1:$J$1,0))</f>
        <v>Germany</v>
      </c>
    </row>
    <row r="24" spans="1:78" x14ac:dyDescent="0.35">
      <c r="A24" s="189">
        <f>INDEX(M4:M35,MATCH(U24,C4:C35,0),0)</f>
        <v>1552</v>
      </c>
      <c r="B24" s="189">
        <f t="shared" si="25"/>
        <v>1</v>
      </c>
      <c r="C24" s="189" t="str">
        <f t="shared" si="1"/>
        <v>Morocco</v>
      </c>
      <c r="D24" s="189">
        <f t="shared" si="2"/>
        <v>0</v>
      </c>
      <c r="E24" s="189">
        <f>SUMPRODUCT((Matches!H5:H52&lt;&gt;"")*(Matches!F5:F52=C24)*(Matches!H5:H52&gt;Matches!I5:I52)*1)+SUMPRODUCT((Matches!H5:H52&lt;&gt;"")*(Matches!K5:K52=C24)*(Matches!I5:I52&gt;Matches!H5:H52)*1)</f>
        <v>0</v>
      </c>
      <c r="F24" s="189">
        <f>SUMPRODUCT((Matches!H5:H52&lt;&gt;"")*(Matches!F5:F52=C24)*(Matches!H5:H52=Matches!I5:I52)*1)+SUMPRODUCT((Matches!H5:H52&lt;&gt;"")*(Matches!K5:K52=C24)*(Matches!H5:H52=Matches!I5:I52)*1)</f>
        <v>0</v>
      </c>
      <c r="G24" s="189">
        <f>SUMPRODUCT((Matches!H5:H52&lt;&gt;"")*(Matches!F5:F52=C24)*(Matches!H5:H52&lt;Matches!I5:I52)*1)+SUMPRODUCT((Matches!H5:H52&lt;&gt;"")*(Matches!K5:K52=C24)*(Matches!I5:I52&lt;Matches!H5:H52)*1)</f>
        <v>0</v>
      </c>
      <c r="H24" s="189">
        <f>SUMIF(Matches!F5:F52,C24,Matches!H5:H52)+SUMIF(Matches!K5:K52,C24,Matches!I5:I52)</f>
        <v>0</v>
      </c>
      <c r="I24" s="189">
        <f>SUMIF(Matches!F5:F52,C24,Matches!I5:I52)+SUMIF(Matches!K5:K52,C24,Matches!H5:H52)</f>
        <v>0</v>
      </c>
      <c r="J24" s="189">
        <f t="shared" si="3"/>
        <v>0</v>
      </c>
      <c r="K24" s="189">
        <f t="shared" si="4"/>
        <v>0</v>
      </c>
      <c r="L24" s="189">
        <f>Setup!E28</f>
        <v>1552</v>
      </c>
      <c r="M24" s="189">
        <f>IF(Setup!F28&lt;&gt;"",Setup!F28,Setup!E28)</f>
        <v>1552</v>
      </c>
      <c r="N24" s="189">
        <f>RANK(K24,K24:K27)</f>
        <v>1</v>
      </c>
      <c r="O24" s="189">
        <f>SUMPRODUCT((N24:N27=N24)*(J24:J27&gt;J24)*1)</f>
        <v>0</v>
      </c>
      <c r="P24" s="189">
        <f t="shared" si="5"/>
        <v>1</v>
      </c>
      <c r="Q24" s="189">
        <f>SUMPRODUCT((N24:N27=N24)*(J24:J27=J24)*(H24:H27&gt;H24)*1)</f>
        <v>0</v>
      </c>
      <c r="R24" s="189">
        <f t="shared" si="6"/>
        <v>1</v>
      </c>
      <c r="S24" s="189">
        <f>RANK(R24,R24:R27,1)+COUNTIF(R24:R24,R24)-1</f>
        <v>1</v>
      </c>
      <c r="T24" s="189">
        <v>1</v>
      </c>
      <c r="U24" s="189" t="str">
        <f t="shared" ref="U24" si="187">INDEX(C24:C27,MATCH(T24,S24:S27,0),0)</f>
        <v>Morocco</v>
      </c>
      <c r="V24" s="189">
        <f>INDEX(R24:R27,MATCH(U24,C24:C27,0),0)</f>
        <v>1</v>
      </c>
      <c r="W24" s="189" t="str">
        <f t="shared" ref="W24" si="188">IF(V25=1,U24,"")</f>
        <v>Morocco</v>
      </c>
      <c r="Z24" s="189">
        <f>SUMPRODUCT((Matches!F5:F52=W24)*(Matches!K5:K52=W25)*(Matches!H5:H52&gt;Matches!I5:I52)*1)+SUMPRODUCT((Matches!K5:K52=W24)*(Matches!F5:F52=W25)*(Matches!I5:I52&gt;Matches!H5:H52)*1)+SUMPRODUCT((Matches!F5:F52=W24)*(Matches!K5:K52=W26)*(Matches!H5:H52&gt;Matches!I5:I52)*1)+SUMPRODUCT((Matches!K5:K52=W24)*(Matches!F5:F52=W26)*(Matches!I5:I52&gt;Matches!H5:H52)*1)+SUMPRODUCT((Matches!F5:F52=W24)*(Matches!K5:K52=W27)*(Matches!H5:H52&gt;Matches!I5:I52)*1)+SUMPRODUCT((Matches!K5:K52=W24)*(Matches!F5:F52=W27)*(Matches!I5:I52&gt;Matches!H5:H52)*1)</f>
        <v>0</v>
      </c>
      <c r="AA24" s="189">
        <f>SUMPRODUCT((Matches!F5:F52=W24)*(Matches!K5:K52=W25)*(Matches!H5:H52=Matches!I5:I52)*1)+SUMPRODUCT((Matches!K5:K52=W24)*(Matches!F5:F52=W25)*(Matches!H5:H52=Matches!I5:I52)*1)+SUMPRODUCT((Matches!F5:F52=W24)*(Matches!K5:K52=W26)*(Matches!H5:H52=Matches!I5:I52)*1)+SUMPRODUCT((Matches!K5:K52=W24)*(Matches!F5:F52=W26)*(Matches!H5:H52=Matches!I5:I52)*1)+SUMPRODUCT((Matches!F5:F52=W24)*(Matches!K5:K52=W27)*(Matches!H5:H52=Matches!I5:I52)*1)+SUMPRODUCT((Matches!K5:K52=W24)*(Matches!F5:F52=W27)*(Matches!H5:H52=Matches!I5:I52)*1)</f>
        <v>3</v>
      </c>
      <c r="AB24" s="189">
        <f>SUMPRODUCT((Matches!F5:F52=W24)*(Matches!K5:K52=W25)*(Matches!H5:H52&lt;Matches!I5:I52)*1)+SUMPRODUCT((Matches!K5:K52=W24)*(Matches!F5:F52=W25)*(Matches!I5:I52&lt;Matches!H5:H52)*1)+SUMPRODUCT((Matches!F5:F52=W24)*(Matches!K5:K52=W26)*(Matches!H5:H52&lt;Matches!I5:I52)*1)+SUMPRODUCT((Matches!K5:K52=W24)*(Matches!F5:F52=W26)*(Matches!I5:I52&lt;Matches!H5:H52)*1)+SUMPRODUCT((Matches!F5:F52=W24)*(Matches!K5:K52=W27)*(Matches!H5:H52&lt;Matches!I5:I52)*1)+SUMPRODUCT((Matches!K5:K52=W24)*(Matches!F5:F52=W27)*(Matches!I5:I52&lt;Matches!H5:H52)*1)</f>
        <v>0</v>
      </c>
      <c r="AC24" s="189">
        <f>SUMIFS(Matches!H5:H52,Matches!F5:F52,W24,Matches!K5:K52,W25)+SUMIFS(Matches!H5:H52,Matches!F5:F52,W24,Matches!K5:K52,W26)+SUMIFS(Matches!H5:H52,Matches!F5:F52,W24,Matches!K5:K52,W27)+SUMIFS(Matches!I5:I52,Matches!K5:K52,W24,Matches!F5:F52,W25)+SUMIFS(Matches!I5:I52,Matches!K5:K52,W24,Matches!F5:F52,W26)+SUMIFS(Matches!I5:I52,Matches!K5:K52,W24,Matches!F5:F52,W27)</f>
        <v>0</v>
      </c>
      <c r="AD24" s="189">
        <f>SUMIFS(Matches!I5:I52,Matches!F5:F52,W24,Matches!K5:K52,W25)+SUMIFS(Matches!I5:I52,Matches!F5:F52,W24,Matches!K5:K52,W26)+SUMIFS(Matches!I5:I52,Matches!F5:F52,W24,Matches!K5:K52,W27)+SUMIFS(Matches!H5:H52,Matches!K5:K52,W24,Matches!F5:F52,W25)+SUMIFS(Matches!H5:H52,Matches!K5:K52,W24,Matches!F5:F52,W26)+SUMIFS(Matches!H5:H52,Matches!K5:K52,W24,Matches!F5:F52,W27)</f>
        <v>0</v>
      </c>
      <c r="AE24" s="189">
        <f t="shared" si="7"/>
        <v>0</v>
      </c>
      <c r="AF24" s="189">
        <f t="shared" si="8"/>
        <v>3</v>
      </c>
      <c r="AG24" s="189">
        <f t="shared" ref="AG24" si="189">IF(W24&lt;&gt;"",SUMPRODUCT((V24:V27=V24)*(AF24:AF27&gt;AF24)*1),0)</f>
        <v>0</v>
      </c>
      <c r="AH24" s="189">
        <f t="shared" ref="AH24" si="190">IF(W24&lt;&gt;"",SUMPRODUCT((AG24:AG27=AG24)*(AE24:AE27&gt;AE24)*1),0)</f>
        <v>0</v>
      </c>
      <c r="AI24" s="189">
        <f t="shared" si="0"/>
        <v>0</v>
      </c>
      <c r="AJ24" s="189">
        <f t="shared" ref="AJ24" si="191">IF(W24&lt;&gt;"",SUMPRODUCT((AI24:AI27=AI24)*(AG24:AG27=AG24)*(AC24:AC27&gt;AC24)*1),0)</f>
        <v>0</v>
      </c>
      <c r="AK24" s="189">
        <f t="shared" si="9"/>
        <v>1</v>
      </c>
      <c r="AL24" s="189">
        <v>0</v>
      </c>
      <c r="AM24" s="189">
        <v>0</v>
      </c>
      <c r="AN24" s="189">
        <v>0</v>
      </c>
      <c r="AO24" s="189">
        <v>0</v>
      </c>
      <c r="AP24" s="189">
        <v>0</v>
      </c>
      <c r="AQ24" s="189">
        <f t="shared" si="10"/>
        <v>0</v>
      </c>
      <c r="AR24" s="189">
        <f t="shared" si="11"/>
        <v>0</v>
      </c>
      <c r="AS24" s="189">
        <v>0</v>
      </c>
      <c r="AT24" s="189">
        <v>0</v>
      </c>
      <c r="AU24" s="189">
        <f t="shared" si="12"/>
        <v>0</v>
      </c>
      <c r="AV24" s="189">
        <v>0</v>
      </c>
      <c r="AW24" s="189">
        <f t="shared" si="13"/>
        <v>1</v>
      </c>
      <c r="AX24" s="189">
        <v>0</v>
      </c>
      <c r="AY24" s="189">
        <v>0</v>
      </c>
      <c r="AZ24" s="189">
        <v>0</v>
      </c>
      <c r="BA24" s="189">
        <v>0</v>
      </c>
      <c r="BB24" s="189">
        <v>0</v>
      </c>
      <c r="BC24" s="189">
        <v>0</v>
      </c>
      <c r="BD24" s="189">
        <v>0</v>
      </c>
      <c r="BE24" s="189">
        <v>0</v>
      </c>
      <c r="BF24" s="189">
        <v>0</v>
      </c>
      <c r="BG24" s="189">
        <v>0</v>
      </c>
      <c r="BH24" s="189">
        <v>0</v>
      </c>
      <c r="BI24" s="189">
        <f t="shared" si="17"/>
        <v>1</v>
      </c>
      <c r="BJ24" s="189">
        <f>SUMPRODUCT((BI24:BI27=BI24)*(A24:A27&gt;A24)*1)</f>
        <v>2</v>
      </c>
      <c r="BK24" s="189">
        <f t="shared" si="14"/>
        <v>3</v>
      </c>
      <c r="BM24" s="200"/>
      <c r="BN24" s="201"/>
      <c r="BO24" s="191" t="str">
        <f>Calculator!C21</f>
        <v>Japan</v>
      </c>
      <c r="BP24" s="191" t="s">
        <v>678</v>
      </c>
      <c r="BQ24" s="191"/>
      <c r="BR24" s="189">
        <v>18</v>
      </c>
      <c r="BS24" s="202">
        <v>-3.5</v>
      </c>
      <c r="BU24" s="22">
        <v>18</v>
      </c>
      <c r="BV24" s="193">
        <f t="shared" si="18"/>
        <v>44890.666666666664</v>
      </c>
      <c r="BW24" s="194">
        <v>44890.666666666664</v>
      </c>
      <c r="BX24" s="195">
        <f t="shared" si="19"/>
        <v>44890.666666666664</v>
      </c>
      <c r="BZ24" s="189" t="str">
        <f>INDEX(Language!$A$1:$K$117,MATCH(Setup!B25,Language!$B$1:$B$117,0),MATCH(Setup!$C$5,Language!$A$1:$J$1,0))</f>
        <v>Japan</v>
      </c>
    </row>
    <row r="25" spans="1:78" x14ac:dyDescent="0.35">
      <c r="A25" s="189">
        <f>INDEX(M4:M35,MATCH(U25,C4:C35,0),0)</f>
        <v>1621</v>
      </c>
      <c r="B25" s="189">
        <f t="shared" si="25"/>
        <v>2</v>
      </c>
      <c r="C25" s="189" t="str">
        <f t="shared" si="1"/>
        <v>Croatia</v>
      </c>
      <c r="D25" s="189">
        <f t="shared" si="2"/>
        <v>0</v>
      </c>
      <c r="E25" s="189">
        <f>SUMPRODUCT((Matches!H5:H52&lt;&gt;"")*(Matches!F5:F52=C25)*(Matches!H5:H52&gt;Matches!I5:I52)*1)+SUMPRODUCT((Matches!H5:H52&lt;&gt;"")*(Matches!K5:K52=C25)*(Matches!I5:I52&gt;Matches!H5:H52)*1)</f>
        <v>0</v>
      </c>
      <c r="F25" s="189">
        <f>SUMPRODUCT((Matches!H5:H52&lt;&gt;"")*(Matches!F5:F52=C25)*(Matches!H5:H52=Matches!I5:I52)*1)+SUMPRODUCT((Matches!H5:H52&lt;&gt;"")*(Matches!K5:K52=C25)*(Matches!H5:H52=Matches!I5:I52)*1)</f>
        <v>0</v>
      </c>
      <c r="G25" s="189">
        <f>SUMPRODUCT((Matches!H5:H52&lt;&gt;"")*(Matches!F5:F52=C25)*(Matches!H5:H52&lt;Matches!I5:I52)*1)+SUMPRODUCT((Matches!H5:H52&lt;&gt;"")*(Matches!K5:K52=C25)*(Matches!I5:I52&lt;Matches!H5:H52)*1)</f>
        <v>0</v>
      </c>
      <c r="H25" s="189">
        <f>SUMIF(Matches!F5:F52,C25,Matches!H5:H52)+SUMIF(Matches!K5:K52,C25,Matches!I5:I52)</f>
        <v>0</v>
      </c>
      <c r="I25" s="189">
        <f>SUMIF(Matches!F5:F52,C25,Matches!I5:I52)+SUMIF(Matches!K5:K52,C25,Matches!H5:H52)</f>
        <v>0</v>
      </c>
      <c r="J25" s="189">
        <f t="shared" si="3"/>
        <v>0</v>
      </c>
      <c r="K25" s="189">
        <f t="shared" si="4"/>
        <v>0</v>
      </c>
      <c r="L25" s="189">
        <f>Setup!E29</f>
        <v>1621</v>
      </c>
      <c r="M25" s="189">
        <f>IF(Setup!F29&lt;&gt;"",Setup!F29,Setup!E29)</f>
        <v>1621</v>
      </c>
      <c r="N25" s="189">
        <f>RANK(K25,K24:K27)</f>
        <v>1</v>
      </c>
      <c r="O25" s="189">
        <f>SUMPRODUCT((N24:N27=N25)*(J24:J27&gt;J25)*1)</f>
        <v>0</v>
      </c>
      <c r="P25" s="189">
        <f t="shared" si="5"/>
        <v>1</v>
      </c>
      <c r="Q25" s="189">
        <f>SUMPRODUCT((N24:N27=N25)*(J24:J27=J25)*(H24:H27&gt;H25)*1)</f>
        <v>0</v>
      </c>
      <c r="R25" s="189">
        <f t="shared" si="6"/>
        <v>1</v>
      </c>
      <c r="S25" s="189">
        <f>RANK(R25,R24:R27,1)+COUNTIF(R24:R25,R25)-1</f>
        <v>2</v>
      </c>
      <c r="T25" s="189">
        <v>2</v>
      </c>
      <c r="U25" s="189" t="str">
        <f t="shared" ref="U25" si="192">INDEX(C24:C27,MATCH(T25,S24:S27,0),0)</f>
        <v>Croatia</v>
      </c>
      <c r="V25" s="189">
        <f>INDEX(R24:R27,MATCH(U25,C24:C27,0),0)</f>
        <v>1</v>
      </c>
      <c r="W25" s="189" t="str">
        <f t="shared" ref="W25" si="193">IF(W24&lt;&gt;"",U25,"")</f>
        <v>Croatia</v>
      </c>
      <c r="X25" s="189" t="str">
        <f t="shared" ref="X25" si="194">IF(V26=2,U25,"")</f>
        <v/>
      </c>
      <c r="Z25" s="189">
        <f>SUMPRODUCT((Matches!F5:F52=W25)*(Matches!K5:K52=W24)*(Matches!H5:H52&gt;Matches!I5:I52)*1)+SUMPRODUCT((Matches!K5:K52=W25)*(Matches!F5:F52=W24)*(Matches!I5:I52&gt;Matches!H5:H52)*1)+SUMPRODUCT((Matches!F5:F52=W25)*(Matches!K5:K52=W26)*(Matches!H5:H52&gt;Matches!I5:I52)*1)+SUMPRODUCT((Matches!K5:K52=W25)*(Matches!F5:F52=W26)*(Matches!I5:I52&gt;Matches!H5:H52)*1)+SUMPRODUCT((Matches!F5:F52=W25)*(Matches!K5:K52=W27)*(Matches!H5:H52&gt;Matches!I5:I52)*1)+SUMPRODUCT((Matches!K5:K52=W25)*(Matches!F5:F52=W27)*(Matches!I5:I52&gt;Matches!H5:H52)*1)</f>
        <v>0</v>
      </c>
      <c r="AA25" s="189">
        <f>SUMPRODUCT((Matches!F5:F52=W25)*(Matches!K5:K52=W24)*(Matches!H5:H52=Matches!I5:I52)*1)+SUMPRODUCT((Matches!K5:K52=W25)*(Matches!F5:F52=W24)*(Matches!H5:H52=Matches!I5:I52)*1)+SUMPRODUCT((Matches!F5:F52=W25)*(Matches!K5:K52=W26)*(Matches!H5:H52=Matches!I5:I52)*1)+SUMPRODUCT((Matches!K5:K52=W25)*(Matches!F5:F52=W26)*(Matches!H5:H52=Matches!I5:I52)*1)+SUMPRODUCT((Matches!F5:F52=W25)*(Matches!K5:K52=W27)*(Matches!H5:H52=Matches!I5:I52)*1)+SUMPRODUCT((Matches!K5:K52=W25)*(Matches!F5:F52=W27)*(Matches!H5:H52=Matches!I5:I52)*1)</f>
        <v>3</v>
      </c>
      <c r="AB25" s="189">
        <f>SUMPRODUCT((Matches!F5:F52=W25)*(Matches!K5:K52=W24)*(Matches!H5:H52&lt;Matches!I5:I52)*1)+SUMPRODUCT((Matches!K5:K52=W25)*(Matches!F5:F52=W24)*(Matches!I5:I52&lt;Matches!H5:H52)*1)+SUMPRODUCT((Matches!F5:F52=W25)*(Matches!K5:K52=W26)*(Matches!H5:H52&lt;Matches!I5:I52)*1)+SUMPRODUCT((Matches!K5:K52=W25)*(Matches!F5:F52=W26)*(Matches!I5:I52&lt;Matches!H5:H52)*1)+SUMPRODUCT((Matches!F5:F52=W25)*(Matches!K5:K52=W27)*(Matches!H5:H52&lt;Matches!I5:I52)*1)+SUMPRODUCT((Matches!K5:K52=W25)*(Matches!F5:F52=W27)*(Matches!I5:I52&lt;Matches!H5:H52)*1)</f>
        <v>0</v>
      </c>
      <c r="AC25" s="189">
        <f>SUMIFS(Matches!H5:H52,Matches!F5:F52,W25,Matches!K5:K52,W24)+SUMIFS(Matches!H5:H52,Matches!F5:F52,W25,Matches!K5:K52,W26)+SUMIFS(Matches!H5:H52,Matches!F5:F52,W25,Matches!K5:K52,W27)+SUMIFS(Matches!I5:I52,Matches!K5:K52,W25,Matches!F5:F52,W24)+SUMIFS(Matches!I5:I52,Matches!K5:K52,W25,Matches!F5:F52,W26)+SUMIFS(Matches!I5:I52,Matches!K5:K52,W25,Matches!F5:F52,W27)</f>
        <v>0</v>
      </c>
      <c r="AD25" s="189">
        <f>SUMIFS(Matches!I5:I52,Matches!F5:F52,W25,Matches!K5:K52,W24)+SUMIFS(Matches!I5:I52,Matches!F5:F52,W25,Matches!K5:K52,W26)+SUMIFS(Matches!I5:I52,Matches!F5:F52,W25,Matches!K5:K52,W27)+SUMIFS(Matches!H5:H52,Matches!K5:K52,W25,Matches!F5:F52,W24)+SUMIFS(Matches!H5:H52,Matches!K5:K52,W25,Matches!F5:F52,W26)+SUMIFS(Matches!H5:H52,Matches!K5:K52,W25,Matches!F5:F52,W27)</f>
        <v>0</v>
      </c>
      <c r="AE25" s="189">
        <f t="shared" si="7"/>
        <v>0</v>
      </c>
      <c r="AF25" s="189">
        <f t="shared" si="8"/>
        <v>3</v>
      </c>
      <c r="AG25" s="189">
        <f t="shared" ref="AG25" si="195">IF(W25&lt;&gt;"",SUMPRODUCT((V24:V27=V25)*(AF24:AF27&gt;AF25)*1),0)</f>
        <v>0</v>
      </c>
      <c r="AH25" s="189">
        <f t="shared" ref="AH25" si="196">IF(W25&lt;&gt;"",SUMPRODUCT((AG24:AG27=AG25)*(AE24:AE27&gt;AE25)*1),0)</f>
        <v>0</v>
      </c>
      <c r="AI25" s="189">
        <f t="shared" si="0"/>
        <v>0</v>
      </c>
      <c r="AJ25" s="189">
        <f t="shared" ref="AJ25" si="197">IF(W25&lt;&gt;"",SUMPRODUCT((AI24:AI27=AI25)*(AG24:AG27=AG25)*(AC24:AC27&gt;AC25)*1),0)</f>
        <v>0</v>
      </c>
      <c r="AK25" s="189">
        <f t="shared" si="9"/>
        <v>1</v>
      </c>
      <c r="AL25" s="189">
        <f>SUMPRODUCT((Matches!F5:F52=X25)*(Matches!K5:K52=X26)*(Matches!H5:H52&gt;Matches!I5:I52)*1)+SUMPRODUCT((Matches!K5:K52=X25)*(Matches!F5:F52=X26)*(Matches!I5:I52&gt;Matches!H5:H52)*1)+SUMPRODUCT((Matches!F5:F52=X25)*(Matches!K5:K52=X27)*(Matches!H5:H52&gt;Matches!I5:I52)*1)+SUMPRODUCT((Matches!K5:K52=X25)*(Matches!F5:F52=X27)*(Matches!I5:I52&gt;Matches!H5:H52)*1)</f>
        <v>0</v>
      </c>
      <c r="AM25" s="189">
        <f>SUMPRODUCT((Matches!F5:F52=X25)*(Matches!K5:K52=X26)*(Matches!H5:H52=Matches!I5:I52)*1)+SUMPRODUCT((Matches!K5:K52=X25)*(Matches!F5:F52=X26)*(Matches!H5:H52=Matches!I5:I52)*1)+SUMPRODUCT((Matches!F5:F52=X25)*(Matches!K5:K52=X27)*(Matches!H5:H52=Matches!I5:I52)*1)+SUMPRODUCT((Matches!K5:K52=X25)*(Matches!F5:F52=X27)*(Matches!H5:H52=Matches!I5:I52)*1)</f>
        <v>0</v>
      </c>
      <c r="AN25" s="189">
        <f>SUMPRODUCT((Matches!F5:F52=X25)*(Matches!K5:K52=X26)*(Matches!H5:H52&lt;Matches!I5:I52)*1)+SUMPRODUCT((Matches!K5:K52=X25)*(Matches!F5:F52=X26)*(Matches!I5:I52&lt;Matches!H5:H52)*1)+SUMPRODUCT((Matches!F5:F52=X25)*(Matches!K5:K52=X27)*(Matches!H5:H52&lt;Matches!I5:I52)*1)+SUMPRODUCT((Matches!K5:K52=X25)*(Matches!F5:F52=X27)*(Matches!I5:I52&lt;Matches!H5:H52)*1)</f>
        <v>0</v>
      </c>
      <c r="AO25" s="189">
        <f>SUMIFS(Matches!H5:H52,Matches!F5:F52,X25,Matches!K5:K52,X26)+SUMIFS(Matches!H5:H52,Matches!F5:F52,X25,Matches!K5:K52,X27)+SUMIFS(Matches!I5:I52,Matches!K5:K52,X25,Matches!F5:F52,X26)+SUMIFS(Matches!I5:I52,Matches!K5:K52,X25,Matches!F5:F52,X27)</f>
        <v>0</v>
      </c>
      <c r="AP25" s="189">
        <f>SUMIFS(Matches!I5:I52,Matches!F5:F52,X25,Matches!K5:K52,X26)+SUMIFS(Matches!I5:I52,Matches!F5:F52,X25,Matches!K5:K52,X27)+SUMIFS(Matches!H5:H52,Matches!K5:K52,X25,Matches!F5:F52,X26)+SUMIFS(Matches!H5:H52,Matches!K5:K52,X25,Matches!F5:F52,X27)</f>
        <v>0</v>
      </c>
      <c r="AQ25" s="189">
        <f t="shared" si="10"/>
        <v>0</v>
      </c>
      <c r="AR25" s="189">
        <f t="shared" si="11"/>
        <v>0</v>
      </c>
      <c r="AS25" s="189">
        <f t="shared" ref="AS25" si="198">IF(X25&lt;&gt;"",SUMPRODUCT((V24:V27=V25)*(AR24:AR27&gt;AR25)*1),0)</f>
        <v>0</v>
      </c>
      <c r="AT25" s="189">
        <f t="shared" ref="AT25" si="199">IF(X25&lt;&gt;"",SUMPRODUCT((AS24:AS27=AS25)*(AQ24:AQ27&gt;AQ25)*1),0)</f>
        <v>0</v>
      </c>
      <c r="AU25" s="189">
        <f t="shared" si="12"/>
        <v>0</v>
      </c>
      <c r="AV25" s="189">
        <f t="shared" ref="AV25" si="200">IF(X25&lt;&gt;"",SUMPRODUCT((AU24:AU27=AU25)*(AS24:AS27=AS25)*(AO24:AO27&gt;AO25)*1),0)</f>
        <v>0</v>
      </c>
      <c r="AW25" s="189">
        <f t="shared" si="13"/>
        <v>1</v>
      </c>
      <c r="AX25" s="189">
        <v>0</v>
      </c>
      <c r="AY25" s="189">
        <v>0</v>
      </c>
      <c r="AZ25" s="189">
        <v>0</v>
      </c>
      <c r="BA25" s="189">
        <v>0</v>
      </c>
      <c r="BB25" s="189">
        <v>0</v>
      </c>
      <c r="BC25" s="189">
        <v>0</v>
      </c>
      <c r="BD25" s="189">
        <v>0</v>
      </c>
      <c r="BE25" s="189">
        <v>0</v>
      </c>
      <c r="BF25" s="189">
        <v>0</v>
      </c>
      <c r="BG25" s="189">
        <v>0</v>
      </c>
      <c r="BH25" s="189">
        <v>0</v>
      </c>
      <c r="BI25" s="189">
        <f t="shared" si="17"/>
        <v>1</v>
      </c>
      <c r="BJ25" s="189">
        <f>SUMPRODUCT((BI24:BI27=BI25)*(A24:A27&gt;A25)*1)</f>
        <v>1</v>
      </c>
      <c r="BK25" s="189">
        <f t="shared" si="14"/>
        <v>2</v>
      </c>
      <c r="BM25" s="200"/>
      <c r="BN25" s="201"/>
      <c r="BO25" s="191" t="str">
        <f>Calculator!C22</f>
        <v>Spain</v>
      </c>
      <c r="BP25" s="191" t="s">
        <v>679</v>
      </c>
      <c r="BQ25" s="191"/>
      <c r="BR25" s="189">
        <v>19</v>
      </c>
      <c r="BS25" s="202">
        <v>-3</v>
      </c>
      <c r="BU25" s="22">
        <v>19</v>
      </c>
      <c r="BV25" s="193">
        <f t="shared" si="18"/>
        <v>44890.791666666664</v>
      </c>
      <c r="BW25" s="194">
        <v>44890.791666666664</v>
      </c>
      <c r="BX25" s="195">
        <f t="shared" si="19"/>
        <v>44890.791666666664</v>
      </c>
      <c r="BY25" s="189">
        <f>SUM(Matches!R23:R26)</f>
        <v>0</v>
      </c>
      <c r="BZ25" s="189" t="str">
        <f>INDEX(Language!$A$1:$K$117,MATCH(Setup!B26,Language!$B$1:$B$117,0),MATCH(Setup!$C$5,Language!$A$1:$J$1,0))</f>
        <v>Spain</v>
      </c>
    </row>
    <row r="26" spans="1:78" x14ac:dyDescent="0.35">
      <c r="A26" s="189">
        <f>INDEX(M4:M35,MATCH(U26,C4:C35,0),0)</f>
        <v>1827</v>
      </c>
      <c r="B26" s="189">
        <f t="shared" si="25"/>
        <v>3</v>
      </c>
      <c r="C26" s="189" t="str">
        <f t="shared" si="1"/>
        <v>Belgium</v>
      </c>
      <c r="D26" s="189">
        <f t="shared" si="2"/>
        <v>0</v>
      </c>
      <c r="E26" s="189">
        <f>SUMPRODUCT((Matches!H5:H52&lt;&gt;"")*(Matches!F5:F52=C26)*(Matches!H5:H52&gt;Matches!I5:I52)*1)+SUMPRODUCT((Matches!H5:H52&lt;&gt;"")*(Matches!K5:K52=C26)*(Matches!I5:I52&gt;Matches!H5:H52)*1)</f>
        <v>0</v>
      </c>
      <c r="F26" s="189">
        <f>SUMPRODUCT((Matches!H5:H52&lt;&gt;"")*(Matches!F5:F52=C26)*(Matches!H5:H52=Matches!I5:I52)*1)+SUMPRODUCT((Matches!H5:H52&lt;&gt;"")*(Matches!K5:K52=C26)*(Matches!H5:H52=Matches!I5:I52)*1)</f>
        <v>0</v>
      </c>
      <c r="G26" s="189">
        <f>SUMPRODUCT((Matches!H5:H52&lt;&gt;"")*(Matches!F5:F52=C26)*(Matches!H5:H52&lt;Matches!I5:I52)*1)+SUMPRODUCT((Matches!H5:H52&lt;&gt;"")*(Matches!K5:K52=C26)*(Matches!I5:I52&lt;Matches!H5:H52)*1)</f>
        <v>0</v>
      </c>
      <c r="H26" s="189">
        <f>SUMIF(Matches!F5:F52,C26,Matches!H5:H52)+SUMIF(Matches!K5:K52,C26,Matches!I5:I52)</f>
        <v>0</v>
      </c>
      <c r="I26" s="189">
        <f>SUMIF(Matches!F5:F52,C26,Matches!I5:I52)+SUMIF(Matches!K5:K52,C26,Matches!H5:H52)</f>
        <v>0</v>
      </c>
      <c r="J26" s="189">
        <f t="shared" si="3"/>
        <v>0</v>
      </c>
      <c r="K26" s="189">
        <f t="shared" si="4"/>
        <v>0</v>
      </c>
      <c r="L26" s="189">
        <f>Setup!E30</f>
        <v>1827</v>
      </c>
      <c r="M26" s="189">
        <f>IF(Setup!F30&lt;&gt;"",Setup!F30,Setup!E30)</f>
        <v>1827</v>
      </c>
      <c r="N26" s="189">
        <f>RANK(K26,K24:K27)</f>
        <v>1</v>
      </c>
      <c r="O26" s="189">
        <f>SUMPRODUCT((N24:N27=N26)*(J24:J27&gt;J26)*1)</f>
        <v>0</v>
      </c>
      <c r="P26" s="189">
        <f t="shared" si="5"/>
        <v>1</v>
      </c>
      <c r="Q26" s="189">
        <f>SUMPRODUCT((N24:N27=N26)*(J24:J27=J26)*(H24:H27&gt;H26)*1)</f>
        <v>0</v>
      </c>
      <c r="R26" s="189">
        <f t="shared" si="6"/>
        <v>1</v>
      </c>
      <c r="S26" s="189">
        <f>RANK(R26,R24:R27,1)+COUNTIF(R24:R26,R26)-1</f>
        <v>3</v>
      </c>
      <c r="T26" s="189">
        <v>3</v>
      </c>
      <c r="U26" s="189" t="str">
        <f t="shared" ref="U26" si="201">INDEX(C24:C27,MATCH(T26,S24:S27,0),0)</f>
        <v>Belgium</v>
      </c>
      <c r="V26" s="189">
        <f>INDEX(R24:R27,MATCH(U26,C24:C27,0),0)</f>
        <v>1</v>
      </c>
      <c r="W26" s="189" t="str">
        <f t="shared" ref="W26:W27" si="202">IF(AND(W25&lt;&gt;"",V26=1),U26,"")</f>
        <v>Belgium</v>
      </c>
      <c r="X26" s="189" t="str">
        <f t="shared" ref="X26" si="203">IF(X25&lt;&gt;"",U26,"")</f>
        <v/>
      </c>
      <c r="Y26" s="189" t="str">
        <f t="shared" ref="Y26" si="204">IF(V27=3,U26,"")</f>
        <v/>
      </c>
      <c r="Z26" s="189">
        <f>SUMPRODUCT((Matches!F5:F52=W26)*(Matches!K5:K52=W24)*(Matches!H5:H52&gt;Matches!I5:I52)*1)+SUMPRODUCT((Matches!K5:K52=W26)*(Matches!F5:F52=W24)*(Matches!I5:I52&gt;Matches!H5:H52)*1)+SUMPRODUCT((Matches!F5:F52=W26)*(Matches!K5:K52=W25)*(Matches!H5:H52&gt;Matches!I5:I52)*1)+SUMPRODUCT((Matches!K5:K52=W26)*(Matches!F5:F52=W25)*(Matches!I5:I52&gt;Matches!H5:H52)*1)+SUMPRODUCT((Matches!F5:F52=W26)*(Matches!K5:K52=W27)*(Matches!H5:H52&gt;Matches!I5:I52)*1)+SUMPRODUCT((Matches!K5:K52=W26)*(Matches!F5:F52=W27)*(Matches!I5:I52&gt;Matches!H5:H52)*1)</f>
        <v>0</v>
      </c>
      <c r="AA26" s="189">
        <f>SUMPRODUCT((Matches!F5:F52=W26)*(Matches!K5:K52=W24)*(Matches!H5:H52=Matches!I5:I52)*1)+SUMPRODUCT((Matches!K5:K52=W26)*(Matches!F5:F52=W24)*(Matches!H5:H52=Matches!I5:I52)*1)+SUMPRODUCT((Matches!F5:F52=W26)*(Matches!K5:K52=W25)*(Matches!H5:H52=Matches!I5:I52)*1)+SUMPRODUCT((Matches!K5:K52=W26)*(Matches!F5:F52=W25)*(Matches!H5:H52=Matches!I5:I52)*1)+SUMPRODUCT((Matches!F5:F52=W26)*(Matches!K5:K52=W27)*(Matches!H5:H52=Matches!I5:I52)*1)+SUMPRODUCT((Matches!K5:K52=W26)*(Matches!F5:F52=W27)*(Matches!H5:H52=Matches!I5:I52)*1)</f>
        <v>3</v>
      </c>
      <c r="AB26" s="189">
        <f>SUMPRODUCT((Matches!F5:F52=W26)*(Matches!K5:K52=W24)*(Matches!H5:H52&lt;Matches!I5:I52)*1)+SUMPRODUCT((Matches!K5:K52=W26)*(Matches!F5:F52=W24)*(Matches!I5:I52&lt;Matches!H5:H52)*1)+SUMPRODUCT((Matches!F5:F52=W26)*(Matches!K5:K52=W25)*(Matches!H5:H52&lt;Matches!I5:I52)*1)+SUMPRODUCT((Matches!K5:K52=W26)*(Matches!F5:F52=W25)*(Matches!I5:I52&lt;Matches!H5:H52)*1)+SUMPRODUCT((Matches!F5:F52=W26)*(Matches!K5:K52=W27)*(Matches!H5:H52&lt;Matches!I5:I52)*1)+SUMPRODUCT((Matches!K5:K52=W26)*(Matches!F5:F52=W27)*(Matches!I5:I52&lt;Matches!H5:H52)*1)</f>
        <v>0</v>
      </c>
      <c r="AC26" s="189">
        <f>SUMIFS(Matches!H5:H52,Matches!F5:F52,W26,Matches!K5:K52,W24)+SUMIFS(Matches!H5:H52,Matches!F5:F52,W26,Matches!K5:K52,W25)+SUMIFS(Matches!H5:H52,Matches!F5:F52,W26,Matches!K5:K52,W27)+SUMIFS(Matches!I5:I52,Matches!K5:K52,W26,Matches!F5:F52,W24)+SUMIFS(Matches!I5:I52,Matches!K5:K52,W26,Matches!F5:F52,W25)+SUMIFS(Matches!I5:I52,Matches!K5:K52,W26,Matches!F5:F52,W27)</f>
        <v>0</v>
      </c>
      <c r="AD26" s="189">
        <f>SUMIFS(Matches!I5:I52,Matches!F5:F52,W26,Matches!K5:K52,W24)+SUMIFS(Matches!I5:I52,Matches!F5:F52,W26,Matches!K5:K52,W25)+SUMIFS(Matches!I5:I52,Matches!F5:F52,W26,Matches!K5:K52,W27)+SUMIFS(Matches!H5:H52,Matches!K5:K52,W26,Matches!F5:F52,W24)+SUMIFS(Matches!H5:H52,Matches!K5:K52,W26,Matches!F5:F52,W25)+SUMIFS(Matches!H5:H52,Matches!K5:K52,W26,Matches!F5:F52,W27)</f>
        <v>0</v>
      </c>
      <c r="AE26" s="189">
        <f t="shared" si="7"/>
        <v>0</v>
      </c>
      <c r="AF26" s="189">
        <f t="shared" si="8"/>
        <v>3</v>
      </c>
      <c r="AG26" s="189">
        <f t="shared" ref="AG26" si="205">IF(W26&lt;&gt;"",SUMPRODUCT((V24:V27=V26)*(AF24:AF27&gt;AF26)*1),0)</f>
        <v>0</v>
      </c>
      <c r="AH26" s="189">
        <f t="shared" ref="AH26" si="206">IF(W26&lt;&gt;"",SUMPRODUCT((AG24:AG27=AG26)*(AE24:AE27&gt;AE26)*1),0)</f>
        <v>0</v>
      </c>
      <c r="AI26" s="189">
        <f t="shared" si="0"/>
        <v>0</v>
      </c>
      <c r="AJ26" s="189">
        <f t="shared" ref="AJ26" si="207">IF(W26&lt;&gt;"",SUMPRODUCT((AI24:AI27=AI26)*(AG24:AG27=AG26)*(AC24:AC27&gt;AC26)*1),0)</f>
        <v>0</v>
      </c>
      <c r="AK26" s="189">
        <f t="shared" si="9"/>
        <v>1</v>
      </c>
      <c r="AL26" s="189">
        <f>SUMPRODUCT((Matches!F5:F52=X26)*(Matches!K5:K52=X25)*(Matches!H5:H52&gt;Matches!I5:I52)*1)+SUMPRODUCT((Matches!K5:K52=X26)*(Matches!F5:F52=X25)*(Matches!I5:I52&gt;Matches!H5:H52)*1)+SUMPRODUCT((Matches!F5:F52=X26)*(Matches!K5:K52=X27)*(Matches!H5:H52&gt;Matches!I5:I52)*1)+SUMPRODUCT((Matches!K5:K52=X26)*(Matches!F5:F52=X27)*(Matches!I5:I52&gt;Matches!H5:H52)*1)</f>
        <v>0</v>
      </c>
      <c r="AM26" s="189">
        <f>SUMPRODUCT((Matches!F5:F52=X26)*(Matches!K5:K52=X25)*(Matches!H5:H52=Matches!I5:I52)*1)+SUMPRODUCT((Matches!K5:K52=X26)*(Matches!F5:F52=X25)*(Matches!H5:H52=Matches!I5:I52)*1)+SUMPRODUCT((Matches!F5:F52=X26)*(Matches!K5:K52=X27)*(Matches!H5:H52=Matches!I5:I52)*1)+SUMPRODUCT((Matches!K5:K52=X26)*(Matches!F5:F52=X27)*(Matches!H5:H52=Matches!I5:I52)*1)</f>
        <v>0</v>
      </c>
      <c r="AN26" s="189">
        <f>SUMPRODUCT((Matches!F5:F52=X26)*(Matches!K5:K52=X25)*(Matches!H5:H52&lt;Matches!I5:I52)*1)+SUMPRODUCT((Matches!K5:K52=X26)*(Matches!F5:F52=X25)*(Matches!I5:I52&lt;Matches!H5:H52)*1)+SUMPRODUCT((Matches!F5:F52=X26)*(Matches!K5:K52=X27)*(Matches!H5:H52&lt;Matches!I5:I52)*1)+SUMPRODUCT((Matches!K5:K52=X26)*(Matches!F5:F52=X27)*(Matches!I5:I52&lt;Matches!H5:H52)*1)</f>
        <v>0</v>
      </c>
      <c r="AO26" s="189">
        <f>SUMIFS(Matches!H5:H52,Matches!F5:F52,X26,Matches!K5:K52,X25)+SUMIFS(Matches!H5:H52,Matches!F5:F52,X26,Matches!K5:K52,X27)+SUMIFS(Matches!I5:I52,Matches!K5:K52,X26,Matches!F5:F52,X25)+SUMIFS(Matches!I5:I52,Matches!K5:K52,X26,Matches!F5:F52,X27)</f>
        <v>0</v>
      </c>
      <c r="AP26" s="189">
        <f>SUMIFS(Matches!I5:I52,Matches!F5:F52,X26,Matches!K5:K52,X25)+SUMIFS(Matches!I5:I52,Matches!F5:F52,X26,Matches!K5:K52,X27)+SUMIFS(Matches!H5:H52,Matches!K5:K52,X26,Matches!F5:F52,X25)+SUMIFS(Matches!H5:H52,Matches!K5:K52,X26,Matches!F5:F52,X27)</f>
        <v>0</v>
      </c>
      <c r="AQ26" s="189">
        <f t="shared" si="10"/>
        <v>0</v>
      </c>
      <c r="AR26" s="189">
        <f t="shared" si="11"/>
        <v>0</v>
      </c>
      <c r="AS26" s="189">
        <f t="shared" ref="AS26" si="208">IF(X26&lt;&gt;"",SUMPRODUCT((V24:V27=V26)*(AR24:AR27&gt;AR26)*1),0)</f>
        <v>0</v>
      </c>
      <c r="AT26" s="189">
        <f t="shared" ref="AT26" si="209">IF(X26&lt;&gt;"",SUMPRODUCT((AS24:AS27=AS26)*(AQ24:AQ27&gt;AQ26)*1),0)</f>
        <v>0</v>
      </c>
      <c r="AU26" s="189">
        <f t="shared" si="12"/>
        <v>0</v>
      </c>
      <c r="AV26" s="189">
        <f t="shared" ref="AV26" si="210">IF(X26&lt;&gt;"",SUMPRODUCT((AU24:AU27=AU26)*(AS24:AS27=AS26)*(AO24:AO27&gt;AO26)*1),0)</f>
        <v>0</v>
      </c>
      <c r="AW26" s="189">
        <f t="shared" si="13"/>
        <v>1</v>
      </c>
      <c r="AX26" s="189">
        <f>SUMPRODUCT((Matches!F5:F52=Y26)*(Matches!K5:K52=Y27)*(Matches!H5:H52&gt;Matches!I5:I52)*1)+SUMPRODUCT((Matches!K5:K52=Y26)*(Matches!F5:F52=Y27)*(Matches!I5:I52&gt;Matches!H5:H52)*1)</f>
        <v>0</v>
      </c>
      <c r="AY26" s="189">
        <f>SUMPRODUCT((Matches!F5:F52=Y26)*(Matches!K5:K52=Y27)*(Matches!H5:H52=Matches!I5:I52)*1)+SUMPRODUCT((Matches!K5:K52=Y26)*(Matches!F5:F52=Y27)*(Matches!I5:I52=Matches!H5:H52)*1)</f>
        <v>0</v>
      </c>
      <c r="AZ26" s="189">
        <f>SUMPRODUCT((Matches!F5:F52=Y26)*(Matches!K5:K52=Y27)*(Matches!H5:H52&lt;Matches!I5:I52)*1)+SUMPRODUCT((Matches!K5:K52=Y26)*(Matches!F5:F52=Y27)*(Matches!I5:I52&lt;Matches!H5:H52)*1)</f>
        <v>0</v>
      </c>
      <c r="BA26" s="189">
        <f>SUMIFS(Matches!H5:H52,Matches!F5:F52,Y26,Matches!K5:K52,Y27)+SUMIFS(Matches!I5:I52,Matches!K5:K52,Y26,Matches!F5:F52,Y27)</f>
        <v>0</v>
      </c>
      <c r="BB26" s="189">
        <f>SUMIFS(Matches!I5:I52,Matches!F5:F52,Y26,Matches!K5:K52,Y27)+SUMIFS(Matches!H5:H52,Matches!K5:K52,Y26,Matches!F5:F52,Y27)</f>
        <v>0</v>
      </c>
      <c r="BC26" s="189">
        <f t="shared" ref="BC26:BC27" si="211">BA26-BB26</f>
        <v>0</v>
      </c>
      <c r="BD26" s="189">
        <f t="shared" ref="BD26:BD27" si="212">AY26*1+AX26*3</f>
        <v>0</v>
      </c>
      <c r="BE26" s="189">
        <f t="shared" ref="BE26" si="213">IF(Y26&lt;&gt;"",SUMPRODUCT((AH24:AH27=AH26)*(BD24:BD27&gt;BD26)*1),0)</f>
        <v>0</v>
      </c>
      <c r="BF26" s="189">
        <f t="shared" ref="BF26" si="214">IF(Y26&lt;&gt;"",SUMPRODUCT((BE24:BE27=BE26)*(BC24:BC27&gt;BC26)*1),0)</f>
        <v>0</v>
      </c>
      <c r="BG26" s="189">
        <f t="shared" ref="BG26:BG27" si="215">BE26+BF26</f>
        <v>0</v>
      </c>
      <c r="BH26" s="189">
        <f t="shared" ref="BH26" si="216">IF(Y26&lt;&gt;"",SUMPRODUCT((BG24:BG27=BG26)*(BE24:BE27=BE26)*(BA24:BA27&gt;BA26)*1),0)</f>
        <v>0</v>
      </c>
      <c r="BI26" s="189">
        <f t="shared" si="17"/>
        <v>1</v>
      </c>
      <c r="BJ26" s="189">
        <f>SUMPRODUCT((BI24:BI27=BI26)*(A24:A27&gt;A26)*1)</f>
        <v>0</v>
      </c>
      <c r="BK26" s="189">
        <f t="shared" si="14"/>
        <v>1</v>
      </c>
      <c r="BM26" s="200"/>
      <c r="BN26" s="201"/>
      <c r="BO26" s="191" t="str">
        <f>Calculator!C23</f>
        <v>Costa Rica</v>
      </c>
      <c r="BP26" s="191" t="s">
        <v>680</v>
      </c>
      <c r="BQ26" s="191"/>
      <c r="BR26" s="189">
        <v>20</v>
      </c>
      <c r="BS26" s="202">
        <v>-2.5</v>
      </c>
      <c r="BU26" s="22">
        <v>20</v>
      </c>
      <c r="BV26" s="193">
        <f t="shared" si="18"/>
        <v>44890.916666666664</v>
      </c>
      <c r="BW26" s="194">
        <v>44890.916666666664</v>
      </c>
      <c r="BX26" s="195">
        <f t="shared" si="19"/>
        <v>44890.916666666664</v>
      </c>
      <c r="BZ26" s="189" t="str">
        <f>INDEX(Language!$A$1:$K$117,MATCH(Setup!B27,Language!$B$1:$B$117,0),MATCH(Setup!$C$5,Language!$A$1:$J$1,0))</f>
        <v>Costa Rica</v>
      </c>
    </row>
    <row r="27" spans="1:78" ht="15.5" x14ac:dyDescent="0.35">
      <c r="A27" s="189">
        <f>INDEX(M4:M35,MATCH(U27,C4:C35,0),0)</f>
        <v>1479</v>
      </c>
      <c r="B27" s="189">
        <f t="shared" si="25"/>
        <v>4</v>
      </c>
      <c r="C27" s="189" t="str">
        <f t="shared" si="1"/>
        <v>Canada</v>
      </c>
      <c r="D27" s="189">
        <f t="shared" si="2"/>
        <v>0</v>
      </c>
      <c r="E27" s="189">
        <f>SUMPRODUCT((Matches!H5:H52&lt;&gt;"")*(Matches!F5:F52=C27)*(Matches!H5:H52&gt;Matches!I5:I52)*1)+SUMPRODUCT((Matches!H5:H52&lt;&gt;"")*(Matches!K5:K52=C27)*(Matches!I5:I52&gt;Matches!H5:H52)*1)</f>
        <v>0</v>
      </c>
      <c r="F27" s="189">
        <f>SUMPRODUCT((Matches!H5:H52&lt;&gt;"")*(Matches!F5:F52=C27)*(Matches!H5:H52=Matches!I5:I52)*1)+SUMPRODUCT((Matches!H5:H52&lt;&gt;"")*(Matches!K5:K52=C27)*(Matches!H5:H52=Matches!I5:I52)*1)</f>
        <v>0</v>
      </c>
      <c r="G27" s="189">
        <f>SUMPRODUCT((Matches!H5:H52&lt;&gt;"")*(Matches!F5:F52=C27)*(Matches!H5:H52&lt;Matches!I5:I52)*1)+SUMPRODUCT((Matches!H5:H52&lt;&gt;"")*(Matches!K5:K52=C27)*(Matches!I5:I52&lt;Matches!H5:H52)*1)</f>
        <v>0</v>
      </c>
      <c r="H27" s="189">
        <f>SUMIF(Matches!F5:F52,C27,Matches!H5:H52)+SUMIF(Matches!K5:K52,C27,Matches!I5:I52)</f>
        <v>0</v>
      </c>
      <c r="I27" s="189">
        <f>SUMIF(Matches!F5:F52,C27,Matches!I5:I52)+SUMIF(Matches!K5:K52,C27,Matches!H5:H52)</f>
        <v>0</v>
      </c>
      <c r="J27" s="189">
        <f t="shared" si="3"/>
        <v>0</v>
      </c>
      <c r="K27" s="189">
        <f t="shared" si="4"/>
        <v>0</v>
      </c>
      <c r="L27" s="189">
        <f>Setup!E31</f>
        <v>1479</v>
      </c>
      <c r="M27" s="189">
        <f>IF(Setup!F31&lt;&gt;"",Setup!F31,Setup!E31)</f>
        <v>1479</v>
      </c>
      <c r="N27" s="189">
        <f>RANK(K27,K24:K27)</f>
        <v>1</v>
      </c>
      <c r="O27" s="189">
        <f>SUMPRODUCT((N24:N27=N27)*(J24:J27&gt;J27)*1)</f>
        <v>0</v>
      </c>
      <c r="P27" s="189">
        <f t="shared" si="5"/>
        <v>1</v>
      </c>
      <c r="Q27" s="189">
        <f>SUMPRODUCT((N24:N27=N27)*(J24:J27=J27)*(H24:H27&gt;H27)*1)</f>
        <v>0</v>
      </c>
      <c r="R27" s="189">
        <f t="shared" si="6"/>
        <v>1</v>
      </c>
      <c r="S27" s="189">
        <f>RANK(R27,R24:R27,1)+COUNTIF(R24:R27,R27)-1</f>
        <v>4</v>
      </c>
      <c r="T27" s="189">
        <v>4</v>
      </c>
      <c r="U27" s="189" t="str">
        <f t="shared" ref="U27" si="217">INDEX(C24:C27,MATCH(T27,S24:S27,0),0)</f>
        <v>Canada</v>
      </c>
      <c r="V27" s="189">
        <f>INDEX(R24:R27,MATCH(U27,C24:C27,0),0)</f>
        <v>1</v>
      </c>
      <c r="W27" s="189" t="str">
        <f t="shared" si="202"/>
        <v>Canada</v>
      </c>
      <c r="X27" s="189" t="str">
        <f t="shared" ref="X27" si="218">IF(AND(X26&lt;&gt;"",V27=2),U27,"")</f>
        <v/>
      </c>
      <c r="Y27" s="189" t="str">
        <f t="shared" ref="Y27" si="219">IF(AND(Y26&lt;&gt;"",V27=3),U27,"")</f>
        <v/>
      </c>
      <c r="Z27" s="189">
        <f>SUMPRODUCT((Matches!F5:F52=W27)*(Matches!K5:K52=W24)*(Matches!H5:H52&gt;Matches!I5:I52)*1)+SUMPRODUCT((Matches!K5:K52=W27)*(Matches!F5:F52=W24)*(Matches!I5:I52&gt;Matches!H5:H52)*1)+SUMPRODUCT((Matches!F5:F52=W27)*(Matches!K5:K52=W25)*(Matches!H5:H52&gt;Matches!I5:I52)*1)+SUMPRODUCT((Matches!K5:K52=W27)*(Matches!F5:F52=W25)*(Matches!I5:I52&gt;Matches!H5:H52)*1)+SUMPRODUCT((Matches!F5:F52=W27)*(Matches!K5:K52=W26)*(Matches!H5:H52&gt;Matches!I5:I52)*1)+SUMPRODUCT((Matches!K5:K52=W27)*(Matches!F5:F52=W26)*(Matches!I5:I52&gt;Matches!H5:H52)*1)</f>
        <v>0</v>
      </c>
      <c r="AA27" s="189">
        <f>SUMPRODUCT((Matches!F5:F52=W27)*(Matches!K5:K52=W24)*(Matches!H5:H52&gt;=Matches!I5:I52)*1)+SUMPRODUCT((Matches!K5:K52=W27)*(Matches!F5:F52=W24)*(Matches!H5:H52=Matches!I5:I52)*1)+SUMPRODUCT((Matches!F5:F52=W27)*(Matches!K5:K52=W25)*(Matches!H5:H52=Matches!I5:I52)*1)+SUMPRODUCT((Matches!K5:K52=W27)*(Matches!F5:F52=W25)*(Matches!H5:H52=Matches!I5:I52)*1)+SUMPRODUCT((Matches!F5:F52=W27)*(Matches!K5:K52=W26)*(Matches!H5:H52=Matches!I5:I52)*1)+SUMPRODUCT((Matches!K5:K52=W27)*(Matches!F5:F52=W26)*(Matches!H5:H52=Matches!I5:I52)*1)</f>
        <v>3</v>
      </c>
      <c r="AB27" s="189">
        <f>SUMPRODUCT((Matches!F5:F52=W27)*(Matches!K5:K52=W24)*(Matches!H5:H52&lt;Matches!I5:I52)*1)+SUMPRODUCT((Matches!K5:K52=W27)*(Matches!F5:F52=W24)*(Matches!I5:I52&lt;Matches!H5:H52)*1)+SUMPRODUCT((Matches!F5:F52=W27)*(Matches!K5:K52=W25)*(Matches!H5:H52&lt;Matches!I5:I52)*1)+SUMPRODUCT((Matches!K5:K52=W27)*(Matches!F5:F52=W25)*(Matches!I5:I52&lt;Matches!H5:H52)*1)+SUMPRODUCT((Matches!F5:F52=W27)*(Matches!K5:K52=W26)*(Matches!H5:H52&lt;Matches!I5:I52)*1)+SUMPRODUCT((Matches!K5:K52=W27)*(Matches!F5:F52=W26)*(Matches!I5:I52&lt;Matches!H5:H52)*1)</f>
        <v>0</v>
      </c>
      <c r="AC27" s="189">
        <f>SUMIFS(Matches!H5:H52,Matches!F5:F52,W27,Matches!K5:K52,W24)+SUMIFS(Matches!H5:H52,Matches!F5:F52,W27,Matches!K5:K52,W25)+SUMIFS(Matches!H5:H52,Matches!F5:F52,W27,Matches!K5:K52,W26)+SUMIFS(Matches!I5:I52,Matches!K5:K52,W27,Matches!F5:F52,W24)+SUMIFS(Matches!I5:I52,Matches!K5:K52,W27,Matches!F5:F52,W25)+SUMIFS(Matches!I5:I52,Matches!K5:K52,W27,Matches!F5:F52,W26)</f>
        <v>0</v>
      </c>
      <c r="AD27" s="189">
        <f>SUMIFS(Matches!I5:I52,Matches!F5:F52,W27,Matches!K5:K52,W24)+SUMIFS(Matches!I5:I52,Matches!F5:F52,W27,Matches!K5:K52,W25)+SUMIFS(Matches!I5:I52,Matches!F5:F52,W27,Matches!K5:K52,W26)+SUMIFS(Matches!H5:H52,Matches!K5:K52,W27,Matches!F5:F52,W24)+SUMIFS(Matches!H5:H52,Matches!K5:K52,W27,Matches!F5:F52,W25)+SUMIFS(Matches!H5:H52,Matches!K5:K52,W27,Matches!F5:F52,W26)</f>
        <v>0</v>
      </c>
      <c r="AE27" s="189">
        <f t="shared" si="7"/>
        <v>0</v>
      </c>
      <c r="AF27" s="189">
        <f t="shared" si="8"/>
        <v>3</v>
      </c>
      <c r="AG27" s="189">
        <f t="shared" ref="AG27" si="220">IF(W27&lt;&gt;"",SUMPRODUCT((V24:V27=V27)*(AF24:AF27&gt;AF27)*1),0)</f>
        <v>0</v>
      </c>
      <c r="AH27" s="189">
        <f t="shared" ref="AH27" si="221">IF(W27&lt;&gt;"",SUMPRODUCT((AG24:AG27=AG27)*(AE24:AE27&gt;AE27)*1),0)</f>
        <v>0</v>
      </c>
      <c r="AI27" s="189">
        <f t="shared" si="0"/>
        <v>0</v>
      </c>
      <c r="AJ27" s="189">
        <f t="shared" ref="AJ27" si="222">IF(W27&lt;&gt;"",SUMPRODUCT((AI24:AI27=AI27)*(AG24:AG27=AG27)*(AC24:AC27&gt;AC27)*1),0)</f>
        <v>0</v>
      </c>
      <c r="AK27" s="189">
        <f t="shared" si="9"/>
        <v>1</v>
      </c>
      <c r="AL27" s="189">
        <f>SUMPRODUCT((Matches!F5:F52=X27)*(Matches!K5:K52=X25)*(Matches!H5:H52&gt;Matches!I5:I52)*1)+SUMPRODUCT((Matches!K5:K52=X27)*(Matches!F5:F52=X25)*(Matches!I5:I52&gt;Matches!H5:H52)*1)+SUMPRODUCT((Matches!F5:F52=X27)*(Matches!K5:K52=X26)*(Matches!H5:H52&gt;Matches!I5:I52)*1)+SUMPRODUCT((Matches!K5:K52=X27)*(Matches!F5:F52=X26)*(Matches!I5:I52&gt;Matches!H5:H52)*1)</f>
        <v>0</v>
      </c>
      <c r="AM27" s="189">
        <f>SUMPRODUCT((Matches!F5:F52=X27)*(Matches!K5:K52=X25)*(Matches!H5:H52=Matches!I5:I52)*1)+SUMPRODUCT((Matches!K5:K52=X27)*(Matches!F5:F52=X25)*(Matches!H5:H52=Matches!I5:I52)*1)+SUMPRODUCT((Matches!F5:F52=X27)*(Matches!K5:K52=X26)*(Matches!H5:H52=Matches!I5:I52)*1)+SUMPRODUCT((Matches!K5:K52=X27)*(Matches!F5:F52=X26)*(Matches!H5:H52=Matches!I5:I52)*1)</f>
        <v>0</v>
      </c>
      <c r="AN27" s="189">
        <f>SUMPRODUCT((Matches!F5:F52=X27)*(Matches!K5:K52=X25)*(Matches!H5:H52&lt;Matches!I5:I52)*1)+SUMPRODUCT((Matches!K5:K52=X27)*(Matches!F5:F52=X25)*(Matches!I5:I52&lt;Matches!H5:H52)*1)+SUMPRODUCT((Matches!F5:F52=X27)*(Matches!K5:K52=X26)*(Matches!H5:H52&lt;Matches!I5:I52)*1)+SUMPRODUCT((Matches!K5:K52=X27)*(Matches!F5:F52=X26)*(Matches!I5:I52&lt;Matches!H5:H52)*1)</f>
        <v>0</v>
      </c>
      <c r="AO27" s="189">
        <f>SUMIFS(Matches!H5:H52,Matches!F5:F52,X27,Matches!K5:K52,X25)+SUMIFS(Matches!H5:H52,Matches!F5:F52,X27,Matches!K5:K52,X26)+SUMIFS(Matches!I5:I52,Matches!K5:K52,X27,Matches!F5:F52,X25)+SUMIFS(Matches!I5:I52,Matches!K5:K52,X27,Matches!F5:F52,X26)</f>
        <v>0</v>
      </c>
      <c r="AP27" s="189">
        <f>SUMIFS(Matches!H5:H52,Matches!F5:F52,X27,Matches!K5:K52,X25)+SUMIFS(Matches!H5:H52,Matches!F5:F52,X27,Matches!K5:K52,X26)+SUMIFS(Matches!I5:I52,Matches!K5:K52,X27,Matches!F5:F52,X25)+SUMIFS(Matches!I5:I52,Matches!K5:K52,X27,Matches!F5:F52,X26)</f>
        <v>0</v>
      </c>
      <c r="AQ27" s="189">
        <f t="shared" si="10"/>
        <v>0</v>
      </c>
      <c r="AR27" s="189">
        <f t="shared" si="11"/>
        <v>0</v>
      </c>
      <c r="AS27" s="189">
        <f t="shared" ref="AS27" si="223">IF(X27&lt;&gt;"",SUMPRODUCT((V24:V27=V27)*(AR24:AR27&gt;AR27)*1),0)</f>
        <v>0</v>
      </c>
      <c r="AT27" s="189">
        <f t="shared" ref="AT27" si="224">IF(X27&lt;&gt;"",SUMPRODUCT((AS24:AS27=AS27)*(AQ24:AQ27&gt;AQ27)*1),0)</f>
        <v>0</v>
      </c>
      <c r="AU27" s="189">
        <f t="shared" si="12"/>
        <v>0</v>
      </c>
      <c r="AV27" s="189">
        <f t="shared" ref="AV27" si="225">IF(X27&lt;&gt;"",SUMPRODUCT((AU24:AU27=AU27)*(AS24:AS27=AS27)*(AO24:AO27&gt;AO27)*1),0)</f>
        <v>0</v>
      </c>
      <c r="AW27" s="189">
        <f t="shared" si="13"/>
        <v>1</v>
      </c>
      <c r="AX27" s="189">
        <f>SUMPRODUCT((Matches!F5:F52=Y27)*(Matches!K5:K52=Y26)*(Matches!H5:H52&gt;Matches!I5:I52)*1)+SUMPRODUCT((Matches!K5:K52=Y27)*(Matches!F5:F52=Y26)*(Matches!I5:I52&gt;Matches!H5:H52)*1)</f>
        <v>0</v>
      </c>
      <c r="AY27" s="189">
        <f>SUMPRODUCT((Matches!F5:F52=Y27)*(Matches!K5:K52=Y26)*(Matches!H5:H52=Matches!I5:I52)*1)+SUMPRODUCT((Matches!K5:K52=Y27)*(Matches!F5:F52=Y26)*(Matches!I5:I52=Matches!H5:H52)*1)</f>
        <v>0</v>
      </c>
      <c r="AZ27" s="189">
        <f>SUMPRODUCT((Matches!F5:F52=Y27)*(Matches!K5:K52=Y26)*(Matches!H5:H52&lt;Matches!I5:I52)*1)+SUMPRODUCT((Matches!K5:K52=Y27)*(Matches!F5:F52=Y26)*(Matches!I5:I52&lt;Matches!H5:H52)*1)</f>
        <v>0</v>
      </c>
      <c r="BA27" s="189">
        <f>SUMIFS(Matches!H5:H52,Matches!F5:F52,Y27,Matches!K5:K52,Y26)+SUMIFS(Matches!I5:I52,Matches!K5:K52,Y27,Matches!F5:F52,Y26)</f>
        <v>0</v>
      </c>
      <c r="BB27" s="189">
        <f>SUMIFS(Matches!H5:H52,Matches!F5:F52,Y27,Matches!K5:K52,Y26)+SUMIFS(Matches!I5:I52,Matches!K5:K52,Y27,Matches!F5:F52,Y26)</f>
        <v>0</v>
      </c>
      <c r="BC27" s="189">
        <f t="shared" si="211"/>
        <v>0</v>
      </c>
      <c r="BD27" s="189">
        <f t="shared" si="212"/>
        <v>0</v>
      </c>
      <c r="BE27" s="189">
        <f t="shared" ref="BE27" si="226">IF(Y27&lt;&gt;"",SUMPRODUCT((AH24:AH27=AH27)*(BD24:BD27&gt;BD27)*1),0)</f>
        <v>0</v>
      </c>
      <c r="BF27" s="189">
        <f t="shared" ref="BF27" si="227">IF(Y27&lt;&gt;"",SUMPRODUCT((BE24:BE27=BE27)*(BC24:BC27&gt;BC27)*1),0)</f>
        <v>0</v>
      </c>
      <c r="BG27" s="189">
        <f t="shared" si="215"/>
        <v>0</v>
      </c>
      <c r="BH27" s="189">
        <f t="shared" ref="BH27" si="228">IF(Y27&lt;&gt;"",SUMPRODUCT((BG24:BG27=BG27)*(BE24:BE27=BE27)*(BA24:BA27&gt;BA27)*1),0)</f>
        <v>0</v>
      </c>
      <c r="BI27" s="189">
        <f t="shared" si="17"/>
        <v>1</v>
      </c>
      <c r="BJ27" s="189">
        <f>SUMPRODUCT((BI24:BI27=BI27)*(A24:A27&gt;A27)*1)</f>
        <v>3</v>
      </c>
      <c r="BK27" s="189">
        <f t="shared" si="14"/>
        <v>4</v>
      </c>
      <c r="BM27" s="200" t="s">
        <v>134</v>
      </c>
      <c r="BN27" s="201"/>
      <c r="BO27" s="191" t="str">
        <f>Calculator!C24</f>
        <v>Morocco</v>
      </c>
      <c r="BP27" s="191" t="s">
        <v>681</v>
      </c>
      <c r="BQ27" s="191"/>
      <c r="BR27" s="189">
        <v>21</v>
      </c>
      <c r="BS27" s="202">
        <v>-2</v>
      </c>
      <c r="BU27" s="22">
        <v>21</v>
      </c>
      <c r="BV27" s="193">
        <f t="shared" si="18"/>
        <v>44891.541666666664</v>
      </c>
      <c r="BW27" s="194">
        <v>44891.541666666664</v>
      </c>
      <c r="BX27" s="195">
        <f t="shared" si="19"/>
        <v>44891.541666666664</v>
      </c>
      <c r="BZ27" s="189" t="str">
        <f>INDEX(Language!$A$1:$K$117,MATCH(Setup!B28,Language!$B$1:$B$117,0),MATCH(Setup!$C$5,Language!$A$1:$J$1,0))</f>
        <v>Morocco</v>
      </c>
    </row>
    <row r="28" spans="1:78" x14ac:dyDescent="0.35">
      <c r="A28" s="189">
        <f>INDEX(M4:M35,MATCH(U28,C4:C35,0),0)</f>
        <v>1635</v>
      </c>
      <c r="B28" s="189">
        <f t="shared" si="25"/>
        <v>1</v>
      </c>
      <c r="C28" s="189" t="str">
        <f t="shared" si="1"/>
        <v>Switzerland</v>
      </c>
      <c r="D28" s="189">
        <f t="shared" si="2"/>
        <v>0</v>
      </c>
      <c r="E28" s="189">
        <f>SUMPRODUCT((Matches!H5:H52&lt;&gt;"")*(Matches!F5:F52=C28)*(Matches!H5:H52&gt;Matches!I5:I52)*1)+SUMPRODUCT((Matches!H5:H52&lt;&gt;"")*(Matches!K5:K52=C28)*(Matches!I5:I52&gt;Matches!H5:H52)*1)</f>
        <v>0</v>
      </c>
      <c r="F28" s="189">
        <f>SUMPRODUCT((Matches!H5:H52&lt;&gt;"")*(Matches!F5:F52=C28)*(Matches!H5:H52=Matches!I5:I52)*1)+SUMPRODUCT((Matches!H5:H52&lt;&gt;"")*(Matches!K5:K52=C28)*(Matches!H5:H52=Matches!I5:I52)*1)</f>
        <v>0</v>
      </c>
      <c r="G28" s="189">
        <f>SUMPRODUCT((Matches!H5:H52&lt;&gt;"")*(Matches!F5:F52=C28)*(Matches!H5:H52&lt;Matches!I5:I52)*1)+SUMPRODUCT((Matches!H5:H52&lt;&gt;"")*(Matches!K5:K52=C28)*(Matches!I5:I52&lt;Matches!H5:H52)*1)</f>
        <v>0</v>
      </c>
      <c r="H28" s="189">
        <f>SUMIF(Matches!F5:F52,C28,Matches!H5:H52)+SUMIF(Matches!K5:K52,C28,Matches!I5:I52)</f>
        <v>0</v>
      </c>
      <c r="I28" s="189">
        <f>SUMIF(Matches!F5:F52,C28,Matches!I5:I52)+SUMIF(Matches!K5:K52,C28,Matches!H5:H52)</f>
        <v>0</v>
      </c>
      <c r="J28" s="189">
        <f t="shared" si="3"/>
        <v>0</v>
      </c>
      <c r="K28" s="189">
        <f t="shared" si="4"/>
        <v>0</v>
      </c>
      <c r="L28" s="189">
        <f>Setup!E32</f>
        <v>1635</v>
      </c>
      <c r="M28" s="189">
        <f>IF(Setup!F32&lt;&gt;"",Setup!F32,Setup!E32)</f>
        <v>1635</v>
      </c>
      <c r="N28" s="189">
        <f>RANK(K28,K28:K31)</f>
        <v>1</v>
      </c>
      <c r="O28" s="189">
        <f>SUMPRODUCT((N28:N31=N28)*(J28:J31&gt;J28)*1)</f>
        <v>0</v>
      </c>
      <c r="P28" s="189">
        <f t="shared" si="5"/>
        <v>1</v>
      </c>
      <c r="Q28" s="189">
        <f>SUMPRODUCT((N28:N31=N28)*(J28:J31=J28)*(H28:H31&gt;H28)*1)</f>
        <v>0</v>
      </c>
      <c r="R28" s="189">
        <f t="shared" si="6"/>
        <v>1</v>
      </c>
      <c r="S28" s="189">
        <f>RANK(R28,R28:R31,1)+COUNTIF(R28:R28,R28)-1</f>
        <v>1</v>
      </c>
      <c r="T28" s="189">
        <v>1</v>
      </c>
      <c r="U28" s="189" t="str">
        <f t="shared" ref="U28" si="229">INDEX(C28:C31,MATCH(T28,S28:S31,0),0)</f>
        <v>Switzerland</v>
      </c>
      <c r="V28" s="189">
        <f t="shared" ref="V28" si="230">INDEX(R28:R31,MATCH(U28,C28:C31,0),0)</f>
        <v>1</v>
      </c>
      <c r="W28" s="189" t="str">
        <f t="shared" ref="W28" si="231">IF(V29=1,U28,"")</f>
        <v>Switzerland</v>
      </c>
      <c r="Z28" s="189">
        <f>SUMPRODUCT((Matches!F5:F52=W28)*(Matches!K5:K52=W29)*(Matches!H5:H52&gt;Matches!I5:I52)*1)+SUMPRODUCT((Matches!K5:K52=W28)*(Matches!F5:F52=W29)*(Matches!I5:I52&gt;Matches!H5:H52)*1)+SUMPRODUCT((Matches!F5:F52=W28)*(Matches!K5:K52=W30)*(Matches!H5:H52&gt;Matches!I5:I52)*1)+SUMPRODUCT((Matches!K5:K52=W28)*(Matches!F5:F52=W30)*(Matches!I5:I52&gt;Matches!H5:H52)*1)+SUMPRODUCT((Matches!F5:F52=W28)*(Matches!K5:K52=W31)*(Matches!H5:H52&gt;Matches!I5:I52)*1)+SUMPRODUCT((Matches!K5:K52=W28)*(Matches!F5:F52=W31)*(Matches!I5:I52&gt;Matches!H5:H52)*1)</f>
        <v>0</v>
      </c>
      <c r="AA28" s="189">
        <f>SUMPRODUCT((Matches!F5:F52=W28)*(Matches!K5:K52=W29)*(Matches!H5:H52=Matches!I5:I52)*1)+SUMPRODUCT((Matches!K5:K52=W28)*(Matches!F5:F52=W29)*(Matches!H5:H52=Matches!I5:I52)*1)+SUMPRODUCT((Matches!F5:F52=W28)*(Matches!K5:K52=W30)*(Matches!H5:H52=Matches!I5:I52)*1)+SUMPRODUCT((Matches!K5:K52=W28)*(Matches!F5:F52=W30)*(Matches!H5:H52=Matches!I5:I52)*1)+SUMPRODUCT((Matches!F5:F52=W28)*(Matches!K5:K52=W31)*(Matches!H5:H52=Matches!I5:I52)*1)+SUMPRODUCT((Matches!K5:K52=W28)*(Matches!F5:F52=W31)*(Matches!H5:H52=Matches!I5:I52)*1)</f>
        <v>3</v>
      </c>
      <c r="AB28" s="189">
        <f>SUMPRODUCT((Matches!F5:F52=W28)*(Matches!K5:K52=W29)*(Matches!H5:H52&lt;Matches!I5:I52)*1)+SUMPRODUCT((Matches!K5:K52=W28)*(Matches!F5:F52=W29)*(Matches!I5:I52&lt;Matches!H5:H52)*1)+SUMPRODUCT((Matches!F5:F52=W28)*(Matches!K5:K52=W30)*(Matches!H5:H52&lt;Matches!I5:I52)*1)+SUMPRODUCT((Matches!K5:K52=W28)*(Matches!F5:F52=W30)*(Matches!I5:I52&lt;Matches!H5:H52)*1)+SUMPRODUCT((Matches!F5:F52=W28)*(Matches!K5:K52=W31)*(Matches!H5:H52&lt;Matches!I5:I52)*1)+SUMPRODUCT((Matches!K5:K52=W28)*(Matches!F5:F52=W31)*(Matches!I5:I52&lt;Matches!H5:H52)*1)</f>
        <v>0</v>
      </c>
      <c r="AC28" s="189">
        <f>SUMIFS(Matches!H5:H52,Matches!F5:F52,W28,Matches!K5:K52,W29)+SUMIFS(Matches!H5:H52,Matches!F5:F52,W28,Matches!K5:K52,W30)+SUMIFS(Matches!H5:H52,Matches!F5:F52,W28,Matches!K5:K52,W31)+SUMIFS(Matches!I5:I52,Matches!K5:K52,W28,Matches!F5:F52,W29)+SUMIFS(Matches!I5:I52,Matches!K5:K52,W28,Matches!F5:F52,W30)+SUMIFS(Matches!I5:I52,Matches!K5:K52,W28,Matches!F5:F52,W31)</f>
        <v>0</v>
      </c>
      <c r="AD28" s="189">
        <f>SUMIFS(Matches!I5:I52,Matches!F5:F52,W28,Matches!K5:K52,W29)+SUMIFS(Matches!I5:I52,Matches!F5:F52,W28,Matches!K5:K52,W30)+SUMIFS(Matches!I5:I52,Matches!F5:F52,W28,Matches!K5:K52,W31)+SUMIFS(Matches!H5:H52,Matches!K5:K52,W28,Matches!F5:F52,W29)+SUMIFS(Matches!H5:H52,Matches!K5:K52,W28,Matches!F5:F52,W30)+SUMIFS(Matches!H5:H52,Matches!K5:K52,W28,Matches!F5:F52,W31)</f>
        <v>0</v>
      </c>
      <c r="AE28" s="189">
        <f t="shared" si="7"/>
        <v>0</v>
      </c>
      <c r="AF28" s="189">
        <f t="shared" si="8"/>
        <v>3</v>
      </c>
      <c r="AG28" s="189">
        <f t="shared" ref="AG28" si="232">IF(W28&lt;&gt;"",SUMPRODUCT((V28:V31=V28)*(AF28:AF31&gt;AF28)*1),0)</f>
        <v>0</v>
      </c>
      <c r="AH28" s="189">
        <f t="shared" ref="AH28" si="233">IF(W28&lt;&gt;"",SUMPRODUCT((AG28:AG31=AG28)*(AE28:AE31&gt;AE28)*1),0)</f>
        <v>0</v>
      </c>
      <c r="AI28" s="189">
        <f t="shared" si="0"/>
        <v>0</v>
      </c>
      <c r="AJ28" s="189">
        <f t="shared" ref="AJ28" si="234">IF(W28&lt;&gt;"",SUMPRODUCT((AI28:AI31=AI28)*(AG28:AG31=AG28)*(AC28:AC31&gt;AC28)*1),0)</f>
        <v>0</v>
      </c>
      <c r="AK28" s="189">
        <f t="shared" si="9"/>
        <v>1</v>
      </c>
      <c r="AL28" s="189">
        <v>0</v>
      </c>
      <c r="AM28" s="189">
        <v>0</v>
      </c>
      <c r="AN28" s="189">
        <v>0</v>
      </c>
      <c r="AO28" s="189">
        <v>0</v>
      </c>
      <c r="AP28" s="189">
        <v>0</v>
      </c>
      <c r="AQ28" s="189">
        <f t="shared" si="10"/>
        <v>0</v>
      </c>
      <c r="AR28" s="189">
        <f t="shared" si="11"/>
        <v>0</v>
      </c>
      <c r="AS28" s="189">
        <v>0</v>
      </c>
      <c r="AT28" s="189">
        <v>0</v>
      </c>
      <c r="AU28" s="189">
        <f t="shared" si="12"/>
        <v>0</v>
      </c>
      <c r="AV28" s="189">
        <v>0</v>
      </c>
      <c r="AW28" s="189">
        <f t="shared" si="13"/>
        <v>1</v>
      </c>
      <c r="AX28" s="189">
        <v>0</v>
      </c>
      <c r="AY28" s="189">
        <v>0</v>
      </c>
      <c r="AZ28" s="189">
        <v>0</v>
      </c>
      <c r="BA28" s="189">
        <v>0</v>
      </c>
      <c r="BB28" s="189">
        <v>0</v>
      </c>
      <c r="BC28" s="189">
        <v>0</v>
      </c>
      <c r="BD28" s="189">
        <v>0</v>
      </c>
      <c r="BE28" s="189">
        <v>0</v>
      </c>
      <c r="BF28" s="189">
        <v>0</v>
      </c>
      <c r="BG28" s="189">
        <v>0</v>
      </c>
      <c r="BH28" s="189">
        <v>0</v>
      </c>
      <c r="BI28" s="189">
        <f t="shared" si="17"/>
        <v>1</v>
      </c>
      <c r="BJ28" s="189">
        <f>SUMPRODUCT((BI28:BI31=BI28)*(A28:A31&gt;A28)*1)</f>
        <v>1</v>
      </c>
      <c r="BK28" s="189">
        <f>IF(RIGHT(License!G12,2)="om",BJ28+BI28,0)</f>
        <v>2</v>
      </c>
      <c r="BM28" s="200"/>
      <c r="BN28" s="201"/>
      <c r="BO28" s="191" t="str">
        <f>Calculator!C25</f>
        <v>Croatia</v>
      </c>
      <c r="BP28" s="191" t="s">
        <v>682</v>
      </c>
      <c r="BQ28" s="191"/>
      <c r="BR28" s="189">
        <v>22</v>
      </c>
      <c r="BS28" s="202">
        <v>-1.5</v>
      </c>
      <c r="BU28" s="22">
        <v>22</v>
      </c>
      <c r="BV28" s="193">
        <f t="shared" si="18"/>
        <v>44891.666666666664</v>
      </c>
      <c r="BW28" s="194">
        <v>44891.666666666664</v>
      </c>
      <c r="BX28" s="195">
        <f t="shared" si="19"/>
        <v>44891.666666666664</v>
      </c>
      <c r="BZ28" s="189" t="str">
        <f>INDEX(Language!$A$1:$K$117,MATCH(Setup!B29,Language!$B$1:$B$117,0),MATCH(Setup!$C$5,Language!$A$1:$J$1,0))</f>
        <v>Croatia</v>
      </c>
    </row>
    <row r="29" spans="1:78" x14ac:dyDescent="0.35">
      <c r="A29" s="189">
        <f>INDEX(M4:M35,MATCH(U29,C4:C35,0),0)</f>
        <v>1480</v>
      </c>
      <c r="B29" s="189">
        <f t="shared" si="25"/>
        <v>2</v>
      </c>
      <c r="C29" s="189" t="str">
        <f t="shared" si="1"/>
        <v>Cameroon</v>
      </c>
      <c r="D29" s="189">
        <f t="shared" si="2"/>
        <v>0</v>
      </c>
      <c r="E29" s="189">
        <f>SUMPRODUCT((Matches!H5:H52&lt;&gt;"")*(Matches!F5:F52=C29)*(Matches!H5:H52&gt;Matches!I5:I52)*1)+SUMPRODUCT((Matches!H5:H52&lt;&gt;"")*(Matches!K5:K52=C29)*(Matches!I5:I52&gt;Matches!H5:H52)*1)</f>
        <v>0</v>
      </c>
      <c r="F29" s="189">
        <f>SUMPRODUCT((Matches!H5:H52&lt;&gt;"")*(Matches!F5:F52=C29)*(Matches!H5:H52=Matches!I5:I52)*1)+SUMPRODUCT((Matches!H5:H52&lt;&gt;"")*(Matches!K5:K52=C29)*(Matches!H5:H52=Matches!I5:I52)*1)</f>
        <v>0</v>
      </c>
      <c r="G29" s="189">
        <f>SUMPRODUCT((Matches!H5:H52&lt;&gt;"")*(Matches!F5:F52=C29)*(Matches!H5:H52&lt;Matches!I5:I52)*1)+SUMPRODUCT((Matches!H5:H52&lt;&gt;"")*(Matches!K5:K52=C29)*(Matches!I5:I52&lt;Matches!H5:H52)*1)</f>
        <v>0</v>
      </c>
      <c r="H29" s="189">
        <f>SUMIF(Matches!F5:F52,C29,Matches!H5:H52)+SUMIF(Matches!K5:K52,C29,Matches!I5:I52)</f>
        <v>0</v>
      </c>
      <c r="I29" s="189">
        <f>SUMIF(Matches!F5:F52,C29,Matches!I5:I52)+SUMIF(Matches!K5:K52,C29,Matches!H5:H52)</f>
        <v>0</v>
      </c>
      <c r="J29" s="189">
        <f t="shared" si="3"/>
        <v>0</v>
      </c>
      <c r="K29" s="189">
        <f t="shared" si="4"/>
        <v>0</v>
      </c>
      <c r="L29" s="189">
        <f>Setup!E33</f>
        <v>1480</v>
      </c>
      <c r="M29" s="189">
        <f>IF(Setup!F33&lt;&gt;"",Setup!F33,Setup!E33)</f>
        <v>1480</v>
      </c>
      <c r="N29" s="189">
        <f>RANK(K29,K28:K31)</f>
        <v>1</v>
      </c>
      <c r="O29" s="189">
        <f>SUMPRODUCT((N28:N31=N29)*(J28:J31&gt;J29)*1)</f>
        <v>0</v>
      </c>
      <c r="P29" s="189">
        <f t="shared" si="5"/>
        <v>1</v>
      </c>
      <c r="Q29" s="189">
        <f>SUMPRODUCT((N28:N31=N29)*(J28:J31=J29)*(H28:H31&gt;H29)*1)</f>
        <v>0</v>
      </c>
      <c r="R29" s="189">
        <f t="shared" si="6"/>
        <v>1</v>
      </c>
      <c r="S29" s="189">
        <f>RANK(R29,R28:R31,1)+COUNTIF(R28:R29,R29)-1</f>
        <v>2</v>
      </c>
      <c r="T29" s="189">
        <v>2</v>
      </c>
      <c r="U29" s="189" t="str">
        <f t="shared" ref="U29" si="235">INDEX(C28:C31,MATCH(T29,S28:S31,0),0)</f>
        <v>Cameroon</v>
      </c>
      <c r="V29" s="189">
        <f t="shared" ref="V29" si="236">INDEX(R28:R31,MATCH(U29,C28:C31,0),0)</f>
        <v>1</v>
      </c>
      <c r="W29" s="189" t="str">
        <f t="shared" ref="W29" si="237">IF(W28&lt;&gt;"",U29,"")</f>
        <v>Cameroon</v>
      </c>
      <c r="X29" s="189" t="str">
        <f t="shared" ref="X29" si="238">IF(V30=2,U29,"")</f>
        <v/>
      </c>
      <c r="Z29" s="189">
        <f>SUMPRODUCT((Matches!F5:F52=W29)*(Matches!K5:K52=W28)*(Matches!H5:H52&gt;Matches!I5:I52)*1)+SUMPRODUCT((Matches!K5:K52=W29)*(Matches!F5:F52=W28)*(Matches!I5:I52&gt;Matches!H5:H52)*1)+SUMPRODUCT((Matches!F5:F52=W29)*(Matches!K5:K52=W30)*(Matches!H5:H52&gt;Matches!I5:I52)*1)+SUMPRODUCT((Matches!K5:K52=W29)*(Matches!F5:F52=W30)*(Matches!I5:I52&gt;Matches!H5:H52)*1)+SUMPRODUCT((Matches!F5:F52=W29)*(Matches!K5:K52=W31)*(Matches!H5:H52&gt;Matches!I5:I52)*1)+SUMPRODUCT((Matches!K5:K52=W29)*(Matches!F5:F52=W31)*(Matches!I5:I52&gt;Matches!H5:H52)*1)</f>
        <v>0</v>
      </c>
      <c r="AA29" s="189">
        <f>SUMPRODUCT((Matches!F5:F52=W29)*(Matches!K5:K52=W28)*(Matches!H5:H52=Matches!I5:I52)*1)+SUMPRODUCT((Matches!K5:K52=W29)*(Matches!F5:F52=W28)*(Matches!H5:H52=Matches!I5:I52)*1)+SUMPRODUCT((Matches!F5:F52=W29)*(Matches!K5:K52=W30)*(Matches!H5:H52=Matches!I5:I52)*1)+SUMPRODUCT((Matches!K5:K52=W29)*(Matches!F5:F52=W30)*(Matches!H5:H52=Matches!I5:I52)*1)+SUMPRODUCT((Matches!F5:F52=W29)*(Matches!K5:K52=W31)*(Matches!H5:H52=Matches!I5:I52)*1)+SUMPRODUCT((Matches!K5:K52=W29)*(Matches!F5:F52=W31)*(Matches!H5:H52=Matches!I5:I52)*1)</f>
        <v>3</v>
      </c>
      <c r="AB29" s="189">
        <f>SUMPRODUCT((Matches!F5:F52=W29)*(Matches!K5:K52=W28)*(Matches!H5:H52&lt;Matches!I5:I52)*1)+SUMPRODUCT((Matches!K5:K52=W29)*(Matches!F5:F52=W28)*(Matches!I5:I52&lt;Matches!H5:H52)*1)+SUMPRODUCT((Matches!F5:F52=W29)*(Matches!K5:K52=W30)*(Matches!H5:H52&lt;Matches!I5:I52)*1)+SUMPRODUCT((Matches!K5:K52=W29)*(Matches!F5:F52=W30)*(Matches!I5:I52&lt;Matches!H5:H52)*1)+SUMPRODUCT((Matches!F5:F52=W29)*(Matches!K5:K52=W31)*(Matches!H5:H52&lt;Matches!I5:I52)*1)+SUMPRODUCT((Matches!K5:K52=W29)*(Matches!F5:F52=W31)*(Matches!I5:I52&lt;Matches!H5:H52)*1)</f>
        <v>0</v>
      </c>
      <c r="AC29" s="189">
        <f>SUMIFS(Matches!H5:H52,Matches!F5:F52,W29,Matches!K5:K52,W28)+SUMIFS(Matches!H5:H52,Matches!F5:F52,W29,Matches!K5:K52,W30)+SUMIFS(Matches!H5:H52,Matches!F5:F52,W29,Matches!K5:K52,W31)+SUMIFS(Matches!I5:I52,Matches!K5:K52,W29,Matches!F5:F52,W28)+SUMIFS(Matches!I5:I52,Matches!K5:K52,W29,Matches!F5:F52,W30)+SUMIFS(Matches!I5:I52,Matches!K5:K52,W29,Matches!F5:F52,W31)</f>
        <v>0</v>
      </c>
      <c r="AD29" s="189">
        <f>SUMIFS(Matches!I5:I52,Matches!F5:F52,W29,Matches!K5:K52,W28)+SUMIFS(Matches!I5:I52,Matches!F5:F52,W29,Matches!K5:K52,W30)+SUMIFS(Matches!I5:I52,Matches!F5:F52,W29,Matches!K5:K52,W31)+SUMIFS(Matches!H5:H52,Matches!K5:K52,W29,Matches!F5:F52,W28)+SUMIFS(Matches!H5:H52,Matches!K5:K52,W29,Matches!F5:F52,W30)+SUMIFS(Matches!H5:H52,Matches!K5:K52,W29,Matches!F5:F52,W31)</f>
        <v>0</v>
      </c>
      <c r="AE29" s="189">
        <f t="shared" si="7"/>
        <v>0</v>
      </c>
      <c r="AF29" s="189">
        <f t="shared" si="8"/>
        <v>3</v>
      </c>
      <c r="AG29" s="189">
        <f t="shared" ref="AG29" si="239">IF(W29&lt;&gt;"",SUMPRODUCT((V28:V31=V29)*(AF28:AF31&gt;AF29)*1),0)</f>
        <v>0</v>
      </c>
      <c r="AH29" s="189">
        <f t="shared" ref="AH29" si="240">IF(W29&lt;&gt;"",SUMPRODUCT((AG28:AG31=AG29)*(AE28:AE31&gt;AE29)*1),0)</f>
        <v>0</v>
      </c>
      <c r="AI29" s="189">
        <f t="shared" si="0"/>
        <v>0</v>
      </c>
      <c r="AJ29" s="189">
        <f t="shared" ref="AJ29" si="241">IF(W29&lt;&gt;"",SUMPRODUCT((AI28:AI31=AI29)*(AG28:AG31=AG29)*(AC28:AC31&gt;AC29)*1),0)</f>
        <v>0</v>
      </c>
      <c r="AK29" s="189">
        <f t="shared" si="9"/>
        <v>1</v>
      </c>
      <c r="AL29" s="189">
        <f>SUMPRODUCT((Matches!F5:F52=X29)*(Matches!K5:K52=X30)*(Matches!H5:H52&gt;Matches!I5:I52)*1)+SUMPRODUCT((Matches!K5:K52=X29)*(Matches!F5:F52=X30)*(Matches!I5:I52&gt;Matches!H5:H52)*1)+SUMPRODUCT((Matches!F5:F52=X29)*(Matches!K5:K52=X31)*(Matches!H5:H52&gt;Matches!I5:I52)*1)+SUMPRODUCT((Matches!K5:K52=X29)*(Matches!F5:F52=X31)*(Matches!I5:I52&gt;Matches!H5:H52)*1)</f>
        <v>0</v>
      </c>
      <c r="AM29" s="189">
        <f>SUMPRODUCT((Matches!F5:F52=X29)*(Matches!K5:K52=X30)*(Matches!H5:H52=Matches!I5:I52)*1)+SUMPRODUCT((Matches!K5:K52=X29)*(Matches!F5:F52=X30)*(Matches!H5:H52=Matches!I5:I52)*1)+SUMPRODUCT((Matches!F5:F52=X29)*(Matches!K5:K52=X31)*(Matches!H5:H52=Matches!I5:I52)*1)+SUMPRODUCT((Matches!K5:K52=X29)*(Matches!F5:F52=X31)*(Matches!H5:H52=Matches!I5:I52)*1)</f>
        <v>0</v>
      </c>
      <c r="AN29" s="189">
        <f>SUMPRODUCT((Matches!F5:F52=X29)*(Matches!K5:K52=X30)*(Matches!H5:H52&lt;Matches!I5:I52)*1)+SUMPRODUCT((Matches!K5:K52=X29)*(Matches!F5:F52=X30)*(Matches!I5:I52&lt;Matches!H5:H52)*1)+SUMPRODUCT((Matches!F5:F52=X29)*(Matches!K5:K52=X31)*(Matches!H5:H52&lt;Matches!I5:I52)*1)+SUMPRODUCT((Matches!K5:K52=X29)*(Matches!F5:F52=X31)*(Matches!I5:I52&lt;Matches!H5:H52)*1)</f>
        <v>0</v>
      </c>
      <c r="AO29" s="189">
        <f>SUMIFS(Matches!H5:H52,Matches!F5:F52,X29,Matches!K5:K52,X30)+SUMIFS(Matches!H5:H52,Matches!F5:F52,X29,Matches!K5:K52,X31)+SUMIFS(Matches!I5:I52,Matches!K5:K52,X29,Matches!F5:F52,X30)+SUMIFS(Matches!I5:I52,Matches!K5:K52,X29,Matches!F5:F52,X31)</f>
        <v>0</v>
      </c>
      <c r="AP29" s="189">
        <f>SUMIFS(Matches!I5:I52,Matches!F5:F52,X29,Matches!K5:K52,X30)+SUMIFS(Matches!I5:I52,Matches!F5:F52,X29,Matches!K5:K52,X31)+SUMIFS(Matches!H5:H52,Matches!K5:K52,X29,Matches!F5:F52,X30)+SUMIFS(Matches!H5:H52,Matches!K5:K52,X29,Matches!F5:F52,X31)</f>
        <v>0</v>
      </c>
      <c r="AQ29" s="189">
        <f t="shared" si="10"/>
        <v>0</v>
      </c>
      <c r="AR29" s="189">
        <f t="shared" si="11"/>
        <v>0</v>
      </c>
      <c r="AS29" s="189">
        <f t="shared" ref="AS29" si="242">IF(X29&lt;&gt;"",SUMPRODUCT((V28:V31=V29)*(AR28:AR31&gt;AR29)*1),0)</f>
        <v>0</v>
      </c>
      <c r="AT29" s="189">
        <f t="shared" ref="AT29" si="243">IF(X29&lt;&gt;"",SUMPRODUCT((AS28:AS31=AS29)*(AQ28:AQ31&gt;AQ29)*1),0)</f>
        <v>0</v>
      </c>
      <c r="AU29" s="189">
        <f t="shared" si="12"/>
        <v>0</v>
      </c>
      <c r="AV29" s="189">
        <f t="shared" ref="AV29" si="244">IF(X29&lt;&gt;"",SUMPRODUCT((AU28:AU31=AU29)*(AS28:AS31=AS29)*(AO28:AO31&gt;AO29)*1),0)</f>
        <v>0</v>
      </c>
      <c r="AW29" s="189">
        <f t="shared" si="13"/>
        <v>1</v>
      </c>
      <c r="AX29" s="189">
        <v>0</v>
      </c>
      <c r="AY29" s="189">
        <v>0</v>
      </c>
      <c r="AZ29" s="189">
        <v>0</v>
      </c>
      <c r="BA29" s="189">
        <v>0</v>
      </c>
      <c r="BB29" s="189">
        <v>0</v>
      </c>
      <c r="BC29" s="189">
        <v>0</v>
      </c>
      <c r="BD29" s="189">
        <v>0</v>
      </c>
      <c r="BE29" s="189">
        <v>0</v>
      </c>
      <c r="BF29" s="189">
        <v>0</v>
      </c>
      <c r="BG29" s="189">
        <v>0</v>
      </c>
      <c r="BH29" s="189">
        <v>0</v>
      </c>
      <c r="BI29" s="189">
        <f t="shared" si="17"/>
        <v>1</v>
      </c>
      <c r="BJ29" s="189">
        <f>SUMPRODUCT((BI28:BI31=BI29)*(A28:A31&gt;A29)*1)</f>
        <v>3</v>
      </c>
      <c r="BK29" s="189">
        <f t="shared" si="14"/>
        <v>4</v>
      </c>
      <c r="BM29" s="200"/>
      <c r="BN29" s="201"/>
      <c r="BO29" s="191" t="str">
        <f>Calculator!C26</f>
        <v>Belgium</v>
      </c>
      <c r="BP29" s="191" t="s">
        <v>683</v>
      </c>
      <c r="BQ29" s="191"/>
      <c r="BR29" s="189">
        <v>23</v>
      </c>
      <c r="BS29" s="202">
        <v>-1</v>
      </c>
      <c r="BU29" s="22">
        <v>23</v>
      </c>
      <c r="BV29" s="193">
        <f t="shared" si="18"/>
        <v>44891.791666666664</v>
      </c>
      <c r="BW29" s="194">
        <v>44891.791666666664</v>
      </c>
      <c r="BX29" s="195">
        <f t="shared" si="19"/>
        <v>44891.791666666664</v>
      </c>
      <c r="BZ29" s="189" t="str">
        <f>INDEX(Language!$A$1:$K$117,MATCH(Setup!B30,Language!$B$1:$B$117,0),MATCH(Setup!$C$5,Language!$A$1:$J$1,0))</f>
        <v>Belgium</v>
      </c>
    </row>
    <row r="30" spans="1:78" x14ac:dyDescent="0.35">
      <c r="A30" s="189">
        <f>INDEX(M4:M35,MATCH(U30,C4:C35,0),0)</f>
        <v>1833</v>
      </c>
      <c r="B30" s="189">
        <f t="shared" si="25"/>
        <v>3</v>
      </c>
      <c r="C30" s="189" t="str">
        <f t="shared" si="1"/>
        <v>Brazil</v>
      </c>
      <c r="D30" s="189">
        <f t="shared" si="2"/>
        <v>0</v>
      </c>
      <c r="E30" s="189">
        <f>SUMPRODUCT((Matches!H5:H52&lt;&gt;"")*(Matches!F5:F52=C30)*(Matches!H5:H52&gt;Matches!I5:I52)*1)+SUMPRODUCT((Matches!H5:H52&lt;&gt;"")*(Matches!K5:K52=C30)*(Matches!I5:I52&gt;Matches!H5:H52)*1)</f>
        <v>0</v>
      </c>
      <c r="F30" s="189">
        <f>SUMPRODUCT((Matches!H5:H52&lt;&gt;"")*(Matches!F5:F52=C30)*(Matches!H5:H52=Matches!I5:I52)*1)+SUMPRODUCT((Matches!H5:H52&lt;&gt;"")*(Matches!K5:K52=C30)*(Matches!H5:H52=Matches!I5:I52)*1)</f>
        <v>0</v>
      </c>
      <c r="G30" s="189">
        <f>SUMPRODUCT((Matches!H5:H52&lt;&gt;"")*(Matches!F5:F52=C30)*(Matches!H5:H52&lt;Matches!I5:I52)*1)+SUMPRODUCT((Matches!H5:H52&lt;&gt;"")*(Matches!K5:K52=C30)*(Matches!I5:I52&lt;Matches!H5:H52)*1)</f>
        <v>0</v>
      </c>
      <c r="H30" s="189">
        <f>SUMIF(Matches!F5:F52,C30,Matches!H5:H52)+SUMIF(Matches!K5:K52,C30,Matches!I5:I52)</f>
        <v>0</v>
      </c>
      <c r="I30" s="189">
        <f>SUMIF(Matches!F5:F52,C30,Matches!I5:I52)+SUMIF(Matches!K5:K52,C30,Matches!H5:H52)</f>
        <v>0</v>
      </c>
      <c r="J30" s="189">
        <f t="shared" si="3"/>
        <v>0</v>
      </c>
      <c r="K30" s="189">
        <f t="shared" si="4"/>
        <v>0</v>
      </c>
      <c r="L30" s="189">
        <f>Setup!E34</f>
        <v>1833</v>
      </c>
      <c r="M30" s="189">
        <f>IF(Setup!F34&lt;&gt;"",Setup!F34,Setup!E34)</f>
        <v>1833</v>
      </c>
      <c r="N30" s="189">
        <f>RANK(K30,K28:K31)</f>
        <v>1</v>
      </c>
      <c r="O30" s="189">
        <f>SUMPRODUCT((N28:N31=N30)*(J28:J31&gt;J30)*1)</f>
        <v>0</v>
      </c>
      <c r="P30" s="189">
        <f t="shared" si="5"/>
        <v>1</v>
      </c>
      <c r="Q30" s="189">
        <f>SUMPRODUCT((N28:N31=N30)*(J28:J31=J30)*(H28:H31&gt;H30)*1)</f>
        <v>0</v>
      </c>
      <c r="R30" s="189">
        <f t="shared" si="6"/>
        <v>1</v>
      </c>
      <c r="S30" s="189">
        <f>RANK(R30,R28:R31,1)+COUNTIF(R28:R30,R30)-1</f>
        <v>3</v>
      </c>
      <c r="T30" s="189">
        <v>3</v>
      </c>
      <c r="U30" s="189" t="str">
        <f t="shared" ref="U30" si="245">INDEX(C28:C31,MATCH(T30,S28:S31,0),0)</f>
        <v>Brazil</v>
      </c>
      <c r="V30" s="189">
        <f t="shared" ref="V30" si="246">INDEX(R28:R31,MATCH(U30,C28:C31,0),0)</f>
        <v>1</v>
      </c>
      <c r="W30" s="189" t="str">
        <f t="shared" ref="W30:W31" si="247">IF(AND(W29&lt;&gt;"",V30=1),U30,"")</f>
        <v>Brazil</v>
      </c>
      <c r="X30" s="189" t="str">
        <f t="shared" ref="X30" si="248">IF(X29&lt;&gt;"",U30,"")</f>
        <v/>
      </c>
      <c r="Y30" s="189" t="str">
        <f t="shared" ref="Y30" si="249">IF(V31=3,U30,"")</f>
        <v/>
      </c>
      <c r="Z30" s="189">
        <f>SUMPRODUCT((Matches!F5:F52=W30)*(Matches!K5:K52=W28)*(Matches!H5:H52&gt;Matches!I5:I52)*1)+SUMPRODUCT((Matches!K5:K52=W30)*(Matches!F5:F52=W28)*(Matches!I5:I52&gt;Matches!H5:H52)*1)+SUMPRODUCT((Matches!F5:F52=W30)*(Matches!K5:K52=W29)*(Matches!H5:H52&gt;Matches!I5:I52)*1)+SUMPRODUCT((Matches!K5:K52=W30)*(Matches!F5:F52=W29)*(Matches!I5:I52&gt;Matches!H5:H52)*1)+SUMPRODUCT((Matches!F5:F52=W30)*(Matches!K5:K52=W31)*(Matches!H5:H52&gt;Matches!I5:I52)*1)+SUMPRODUCT((Matches!K5:K52=W30)*(Matches!F5:F52=W31)*(Matches!I5:I52&gt;Matches!H5:H52)*1)</f>
        <v>0</v>
      </c>
      <c r="AA30" s="189">
        <f>SUMPRODUCT((Matches!F5:F52=W30)*(Matches!K5:K52=W28)*(Matches!H5:H52=Matches!I5:I52)*1)+SUMPRODUCT((Matches!K5:K52=W30)*(Matches!F5:F52=W28)*(Matches!H5:H52=Matches!I5:I52)*1)+SUMPRODUCT((Matches!F5:F52=W30)*(Matches!K5:K52=W29)*(Matches!H5:H52=Matches!I5:I52)*1)+SUMPRODUCT((Matches!K5:K52=W30)*(Matches!F5:F52=W29)*(Matches!H5:H52=Matches!I5:I52)*1)+SUMPRODUCT((Matches!F5:F52=W30)*(Matches!K5:K52=W31)*(Matches!H5:H52=Matches!I5:I52)*1)+SUMPRODUCT((Matches!K5:K52=W30)*(Matches!F5:F52=W31)*(Matches!H5:H52=Matches!I5:I52)*1)</f>
        <v>3</v>
      </c>
      <c r="AB30" s="189">
        <f>SUMPRODUCT((Matches!F5:F52=W30)*(Matches!K5:K52=W28)*(Matches!H5:H52&lt;Matches!I5:I52)*1)+SUMPRODUCT((Matches!K5:K52=W30)*(Matches!F5:F52=W28)*(Matches!I5:I52&lt;Matches!H5:H52)*1)+SUMPRODUCT((Matches!F5:F52=W30)*(Matches!K5:K52=W29)*(Matches!H5:H52&lt;Matches!I5:I52)*1)+SUMPRODUCT((Matches!K5:K52=W30)*(Matches!F5:F52=W29)*(Matches!I5:I52&lt;Matches!H5:H52)*1)+SUMPRODUCT((Matches!F5:F52=W30)*(Matches!K5:K52=W31)*(Matches!H5:H52&lt;Matches!I5:I52)*1)+SUMPRODUCT((Matches!K5:K52=W30)*(Matches!F5:F52=W31)*(Matches!I5:I52&lt;Matches!H5:H52)*1)</f>
        <v>0</v>
      </c>
      <c r="AC30" s="189">
        <f>SUMIFS(Matches!H5:H52,Matches!F5:F52,W30,Matches!K5:K52,W28)+SUMIFS(Matches!H5:H52,Matches!F5:F52,W30,Matches!K5:K52,W29)+SUMIFS(Matches!H5:H52,Matches!F5:F52,W30,Matches!K5:K52,W31)+SUMIFS(Matches!I5:I52,Matches!K5:K52,W30,Matches!F5:F52,W28)+SUMIFS(Matches!I5:I52,Matches!K5:K52,W30,Matches!F5:F52,W29)+SUMIFS(Matches!I5:I52,Matches!K5:K52,W30,Matches!F5:F52,W31)</f>
        <v>0</v>
      </c>
      <c r="AD30" s="189">
        <f>SUMIFS(Matches!I5:I52,Matches!F5:F52,W30,Matches!K5:K52,W28)+SUMIFS(Matches!I5:I52,Matches!F5:F52,W30,Matches!K5:K52,W29)+SUMIFS(Matches!I5:I52,Matches!F5:F52,W30,Matches!K5:K52,W31)+SUMIFS(Matches!H5:H52,Matches!K5:K52,W30,Matches!F5:F52,W28)+SUMIFS(Matches!H5:H52,Matches!K5:K52,W30,Matches!F5:F52,W29)+SUMIFS(Matches!H5:H52,Matches!K5:K52,W30,Matches!F5:F52,W31)</f>
        <v>0</v>
      </c>
      <c r="AE30" s="189">
        <f t="shared" si="7"/>
        <v>0</v>
      </c>
      <c r="AF30" s="189">
        <f t="shared" si="8"/>
        <v>3</v>
      </c>
      <c r="AG30" s="189">
        <f t="shared" ref="AG30" si="250">IF(W30&lt;&gt;"",SUMPRODUCT((V28:V31=V30)*(AF28:AF31&gt;AF30)*1),0)</f>
        <v>0</v>
      </c>
      <c r="AH30" s="189">
        <f t="shared" ref="AH30" si="251">IF(W30&lt;&gt;"",SUMPRODUCT((AG28:AG31=AG30)*(AE28:AE31&gt;AE30)*1),0)</f>
        <v>0</v>
      </c>
      <c r="AI30" s="189">
        <f t="shared" si="0"/>
        <v>0</v>
      </c>
      <c r="AJ30" s="189">
        <f t="shared" ref="AJ30" si="252">IF(W30&lt;&gt;"",SUMPRODUCT((AI28:AI31=AI30)*(AG28:AG31=AG30)*(AC28:AC31&gt;AC30)*1),0)</f>
        <v>0</v>
      </c>
      <c r="AK30" s="189">
        <f t="shared" si="9"/>
        <v>1</v>
      </c>
      <c r="AL30" s="189">
        <f>SUMPRODUCT((Matches!F5:F52=X30)*(Matches!K5:K52=X29)*(Matches!H5:H52&gt;Matches!I5:I52)*1)+SUMPRODUCT((Matches!K5:K52=X30)*(Matches!F5:F52=X29)*(Matches!I5:I52&gt;Matches!H5:H52)*1)+SUMPRODUCT((Matches!F5:F52=X30)*(Matches!K5:K52=X31)*(Matches!H5:H52&gt;Matches!I5:I52)*1)+SUMPRODUCT((Matches!K5:K52=X30)*(Matches!F5:F52=X31)*(Matches!I5:I52&gt;Matches!H5:H52)*1)</f>
        <v>0</v>
      </c>
      <c r="AM30" s="189">
        <f>SUMPRODUCT((Matches!F5:F52=X30)*(Matches!K5:K52=X29)*(Matches!H5:H52=Matches!I5:I52)*1)+SUMPRODUCT((Matches!K5:K52=X30)*(Matches!F5:F52=X29)*(Matches!H5:H52=Matches!I5:I52)*1)+SUMPRODUCT((Matches!F5:F52=X30)*(Matches!K5:K52=X31)*(Matches!H5:H52=Matches!I5:I52)*1)+SUMPRODUCT((Matches!K5:K52=X30)*(Matches!F5:F52=X31)*(Matches!H5:H52=Matches!I5:I52)*1)</f>
        <v>0</v>
      </c>
      <c r="AN30" s="189">
        <f>SUMPRODUCT((Matches!F5:F52=X30)*(Matches!K5:K52=X29)*(Matches!H5:H52&lt;Matches!I5:I52)*1)+SUMPRODUCT((Matches!K5:K52=X30)*(Matches!F5:F52=X29)*(Matches!I5:I52&lt;Matches!H5:H52)*1)+SUMPRODUCT((Matches!F5:F52=X30)*(Matches!K5:K52=X31)*(Matches!H5:H52&lt;Matches!I5:I52)*1)+SUMPRODUCT((Matches!K5:K52=X30)*(Matches!F5:F52=X31)*(Matches!I5:I52&lt;Matches!H5:H52)*1)</f>
        <v>0</v>
      </c>
      <c r="AO30" s="189">
        <f>SUMIFS(Matches!H5:H52,Matches!F5:F52,X30,Matches!K5:K52,X29)+SUMIFS(Matches!H5:H52,Matches!F5:F52,X30,Matches!K5:K52,X31)+SUMIFS(Matches!I5:I52,Matches!K5:K52,X30,Matches!F5:F52,X29)+SUMIFS(Matches!I5:I52,Matches!K5:K52,X30,Matches!F5:F52,X31)</f>
        <v>0</v>
      </c>
      <c r="AP30" s="189">
        <f>SUMIFS(Matches!I5:I52,Matches!F5:F52,X30,Matches!K5:K52,X29)+SUMIFS(Matches!I5:I52,Matches!F5:F52,X30,Matches!K5:K52,X31)+SUMIFS(Matches!H5:H52,Matches!K5:K52,X30,Matches!F5:F52,X29)+SUMIFS(Matches!H5:H52,Matches!K5:K52,X30,Matches!F5:F52,X31)</f>
        <v>0</v>
      </c>
      <c r="AQ30" s="189">
        <f t="shared" si="10"/>
        <v>0</v>
      </c>
      <c r="AR30" s="189">
        <f t="shared" si="11"/>
        <v>0</v>
      </c>
      <c r="AS30" s="189">
        <f t="shared" ref="AS30" si="253">IF(X30&lt;&gt;"",SUMPRODUCT((V28:V31=V30)*(AR28:AR31&gt;AR30)*1),0)</f>
        <v>0</v>
      </c>
      <c r="AT30" s="189">
        <f t="shared" ref="AT30" si="254">IF(X30&lt;&gt;"",SUMPRODUCT((AS28:AS31=AS30)*(AQ28:AQ31&gt;AQ30)*1),0)</f>
        <v>0</v>
      </c>
      <c r="AU30" s="189">
        <f t="shared" si="12"/>
        <v>0</v>
      </c>
      <c r="AV30" s="189">
        <f t="shared" ref="AV30" si="255">IF(X30&lt;&gt;"",SUMPRODUCT((AU28:AU31=AU30)*(AS28:AS31=AS30)*(AO28:AO31&gt;AO30)*1),0)</f>
        <v>0</v>
      </c>
      <c r="AW30" s="189">
        <f t="shared" si="13"/>
        <v>1</v>
      </c>
      <c r="AX30" s="189">
        <f>SUMPRODUCT((Matches!F5:F52=Y30)*(Matches!K5:K52=Y31)*(Matches!H5:H52&gt;Matches!I5:I52)*1)+SUMPRODUCT((Matches!K5:K52=Y30)*(Matches!F5:F52=Y31)*(Matches!I5:I52&gt;Matches!H5:H52)*1)</f>
        <v>0</v>
      </c>
      <c r="AY30" s="189">
        <f>SUMPRODUCT((Matches!F5:F52=Y30)*(Matches!K5:K52=Y31)*(Matches!H5:H52=Matches!I5:I52)*1)+SUMPRODUCT((Matches!K5:K52=Y30)*(Matches!F5:F52=Y31)*(Matches!I5:I52=Matches!H5:H52)*1)</f>
        <v>0</v>
      </c>
      <c r="AZ30" s="189">
        <f>SUMPRODUCT((Matches!F5:F52=Y30)*(Matches!K5:K52=Y31)*(Matches!H5:H52&lt;Matches!I5:I52)*1)+SUMPRODUCT((Matches!K5:K52=Y30)*(Matches!F5:F52=Y31)*(Matches!I5:I52&lt;Matches!H5:H52)*1)</f>
        <v>0</v>
      </c>
      <c r="BA30" s="189">
        <f>SUMIFS(Matches!H5:H52,Matches!F5:F52,Y30,Matches!K5:K52,Y31)+SUMIFS(Matches!I5:I52,Matches!K5:K52,Y30,Matches!F5:F52,Y31)</f>
        <v>0</v>
      </c>
      <c r="BB30" s="189">
        <f>SUMIFS(Matches!I5:I52,Matches!F5:F52,Y30,Matches!K5:K52,Y31)+SUMIFS(Matches!H5:H52,Matches!K5:K52,Y30,Matches!F5:F52,Y31)</f>
        <v>0</v>
      </c>
      <c r="BC30" s="189">
        <f t="shared" ref="BC30:BC31" si="256">BA30-BB30</f>
        <v>0</v>
      </c>
      <c r="BD30" s="189">
        <f t="shared" ref="BD30:BD31" si="257">AY30*1+AX30*3</f>
        <v>0</v>
      </c>
      <c r="BE30" s="189">
        <f t="shared" ref="BE30" si="258">IF(Y30&lt;&gt;"",SUMPRODUCT((AH28:AH31=AH30)*(BD28:BD31&gt;BD30)*1),0)</f>
        <v>0</v>
      </c>
      <c r="BF30" s="189">
        <f t="shared" ref="BF30" si="259">IF(Y30&lt;&gt;"",SUMPRODUCT((BE28:BE31=BE30)*(BC28:BC31&gt;BC30)*1),0)</f>
        <v>0</v>
      </c>
      <c r="BG30" s="189">
        <f t="shared" ref="BG30:BG31" si="260">BE30+BF30</f>
        <v>0</v>
      </c>
      <c r="BH30" s="189">
        <f t="shared" ref="BH30" si="261">IF(Y30&lt;&gt;"",SUMPRODUCT((BG28:BG31=BG30)*(BE28:BE31=BE30)*(BA28:BA31&gt;BA30)*1),0)</f>
        <v>0</v>
      </c>
      <c r="BI30" s="189">
        <f t="shared" si="17"/>
        <v>1</v>
      </c>
      <c r="BJ30" s="189">
        <f>SUMPRODUCT((BI28:BI31=BI30)*(A28:A31&gt;A30)*1)</f>
        <v>0</v>
      </c>
      <c r="BK30" s="189">
        <f t="shared" si="14"/>
        <v>1</v>
      </c>
      <c r="BM30" s="200"/>
      <c r="BN30" s="201"/>
      <c r="BO30" s="191" t="str">
        <f>Calculator!C27</f>
        <v>Canada</v>
      </c>
      <c r="BP30" s="191" t="s">
        <v>684</v>
      </c>
      <c r="BQ30" s="191"/>
      <c r="BR30" s="189">
        <v>24</v>
      </c>
      <c r="BS30" s="202">
        <v>-0.5</v>
      </c>
      <c r="BU30" s="22">
        <v>24</v>
      </c>
      <c r="BV30" s="193">
        <f t="shared" si="18"/>
        <v>44891.916666666664</v>
      </c>
      <c r="BW30" s="194">
        <v>44891.916666666664</v>
      </c>
      <c r="BX30" s="195">
        <f t="shared" si="19"/>
        <v>44891.916666666664</v>
      </c>
      <c r="BZ30" s="189" t="str">
        <f>INDEX(Language!$A$1:$K$117,MATCH(Setup!B31,Language!$B$1:$B$117,0),MATCH(Setup!$C$5,Language!$A$1:$J$1,0))</f>
        <v>Canada</v>
      </c>
    </row>
    <row r="31" spans="1:78" ht="15.5" x14ac:dyDescent="0.35">
      <c r="A31" s="189">
        <f>INDEX(M4:M35,MATCH(U31,C4:C35,0),0)</f>
        <v>1548</v>
      </c>
      <c r="B31" s="189">
        <f t="shared" si="25"/>
        <v>4</v>
      </c>
      <c r="C31" s="189" t="str">
        <f t="shared" si="1"/>
        <v>Serbia</v>
      </c>
      <c r="D31" s="189">
        <f t="shared" si="2"/>
        <v>0</v>
      </c>
      <c r="E31" s="189">
        <f>SUMPRODUCT((Matches!H5:H52&lt;&gt;"")*(Matches!F5:F52=C31)*(Matches!H5:H52&gt;Matches!I5:I52)*1)+SUMPRODUCT((Matches!H5:H52&lt;&gt;"")*(Matches!K5:K52=C31)*(Matches!I5:I52&gt;Matches!H5:H52)*1)</f>
        <v>0</v>
      </c>
      <c r="F31" s="189">
        <f>SUMPRODUCT((Matches!H5:H52&lt;&gt;"")*(Matches!F5:F52=C31)*(Matches!H5:H52=Matches!I5:I52)*1)+SUMPRODUCT((Matches!H5:H52&lt;&gt;"")*(Matches!K5:K52=C31)*(Matches!H5:H52=Matches!I5:I52)*1)</f>
        <v>0</v>
      </c>
      <c r="G31" s="189">
        <f>SUMPRODUCT((Matches!H5:H52&lt;&gt;"")*(Matches!F5:F52=C31)*(Matches!H5:H52&lt;Matches!I5:I52)*1)+SUMPRODUCT((Matches!H5:H52&lt;&gt;"")*(Matches!K5:K52=C31)*(Matches!I5:I52&lt;Matches!H5:H52)*1)</f>
        <v>0</v>
      </c>
      <c r="H31" s="189">
        <f>SUMIF(Matches!F5:F52,C31,Matches!H5:H52)+SUMIF(Matches!K5:K52,C31,Matches!I5:I52)</f>
        <v>0</v>
      </c>
      <c r="I31" s="189">
        <f>SUMIF(Matches!F5:F52,C31,Matches!I5:I52)+SUMIF(Matches!K5:K52,C31,Matches!H5:H52)</f>
        <v>0</v>
      </c>
      <c r="J31" s="189">
        <f t="shared" si="3"/>
        <v>0</v>
      </c>
      <c r="K31" s="189">
        <f t="shared" si="4"/>
        <v>0</v>
      </c>
      <c r="L31" s="189">
        <f>Setup!E35</f>
        <v>1548</v>
      </c>
      <c r="M31" s="189">
        <f>IF(Setup!F35&lt;&gt;"",Setup!F35,Setup!E35)</f>
        <v>1548</v>
      </c>
      <c r="N31" s="189">
        <f>RANK(K31,K28:K31)</f>
        <v>1</v>
      </c>
      <c r="O31" s="189">
        <f>SUMPRODUCT((N28:N31=N31)*(J28:J31&gt;J31)*1)</f>
        <v>0</v>
      </c>
      <c r="P31" s="189">
        <f t="shared" si="5"/>
        <v>1</v>
      </c>
      <c r="Q31" s="189">
        <f>SUMPRODUCT((N28:N31=N31)*(J28:J31=J31)*(H28:H31&gt;H31)*1)</f>
        <v>0</v>
      </c>
      <c r="R31" s="189">
        <f t="shared" si="6"/>
        <v>1</v>
      </c>
      <c r="S31" s="189">
        <f>RANK(R31,R28:R31,1)+COUNTIF(R28:R31,R31)-1</f>
        <v>4</v>
      </c>
      <c r="T31" s="189">
        <v>4</v>
      </c>
      <c r="U31" s="189" t="str">
        <f t="shared" ref="U31" si="262">INDEX(C28:C31,MATCH(T31,S28:S31,0),0)</f>
        <v>Serbia</v>
      </c>
      <c r="V31" s="189">
        <f t="shared" ref="V31" si="263">INDEX(R28:R31,MATCH(U31,C28:C31,0),0)</f>
        <v>1</v>
      </c>
      <c r="W31" s="189" t="str">
        <f t="shared" si="247"/>
        <v>Serbia</v>
      </c>
      <c r="X31" s="189" t="str">
        <f t="shared" ref="X31" si="264">IF(AND(X30&lt;&gt;"",V31=2),U31,"")</f>
        <v/>
      </c>
      <c r="Y31" s="189" t="str">
        <f t="shared" ref="Y31" si="265">IF(AND(Y30&lt;&gt;"",V31=3),U31,"")</f>
        <v/>
      </c>
      <c r="Z31" s="189">
        <f>SUMPRODUCT((Matches!F5:F52=W31)*(Matches!K5:K52=W28)*(Matches!H5:H52&gt;Matches!I5:I52)*1)+SUMPRODUCT((Matches!K5:K52=W31)*(Matches!F5:F52=W28)*(Matches!I5:I52&gt;Matches!H5:H52)*1)+SUMPRODUCT((Matches!F5:F52=W31)*(Matches!K5:K52=W29)*(Matches!H5:H52&gt;Matches!I5:I52)*1)+SUMPRODUCT((Matches!K5:K52=W31)*(Matches!F5:F52=W29)*(Matches!I5:I52&gt;Matches!H5:H52)*1)+SUMPRODUCT((Matches!F5:F52=W31)*(Matches!K5:K52=W30)*(Matches!H5:H52&gt;Matches!I5:I52)*1)+SUMPRODUCT((Matches!K5:K52=W31)*(Matches!F5:F52=W30)*(Matches!I5:I52&gt;Matches!H5:H52)*1)</f>
        <v>0</v>
      </c>
      <c r="AA31" s="189">
        <f>SUMPRODUCT((Matches!F5:F52=W31)*(Matches!K5:K52=W28)*(Matches!H5:H52&gt;=Matches!I5:I52)*1)+SUMPRODUCT((Matches!K5:K52=W31)*(Matches!F5:F52=W28)*(Matches!H5:H52=Matches!I5:I52)*1)+SUMPRODUCT((Matches!F5:F52=W31)*(Matches!K5:K52=W29)*(Matches!H5:H52=Matches!I5:I52)*1)+SUMPRODUCT((Matches!K5:K52=W31)*(Matches!F5:F52=W29)*(Matches!H5:H52=Matches!I5:I52)*1)+SUMPRODUCT((Matches!F5:F52=W31)*(Matches!K5:K52=W30)*(Matches!H5:H52=Matches!I5:I52)*1)+SUMPRODUCT((Matches!K5:K52=W31)*(Matches!F5:F52=W30)*(Matches!H5:H52=Matches!I5:I52)*1)</f>
        <v>3</v>
      </c>
      <c r="AB31" s="189">
        <f>SUMPRODUCT((Matches!F5:F52=W31)*(Matches!K5:K52=W28)*(Matches!H5:H52&lt;Matches!I5:I52)*1)+SUMPRODUCT((Matches!K5:K52=W31)*(Matches!F5:F52=W28)*(Matches!I5:I52&lt;Matches!H5:H52)*1)+SUMPRODUCT((Matches!F5:F52=W31)*(Matches!K5:K52=W29)*(Matches!H5:H52&lt;Matches!I5:I52)*1)+SUMPRODUCT((Matches!K5:K52=W31)*(Matches!F5:F52=W29)*(Matches!I5:I52&lt;Matches!H5:H52)*1)+SUMPRODUCT((Matches!F5:F52=W31)*(Matches!K5:K52=W30)*(Matches!H5:H52&lt;Matches!I5:I52)*1)+SUMPRODUCT((Matches!K5:K52=W31)*(Matches!F5:F52=W30)*(Matches!I5:I52&lt;Matches!H5:H52)*1)</f>
        <v>0</v>
      </c>
      <c r="AC31" s="189">
        <f>SUMIFS(Matches!H5:H52,Matches!F5:F52,W31,Matches!K5:K52,W28)+SUMIFS(Matches!H5:H52,Matches!F5:F52,W31,Matches!K5:K52,W29)+SUMIFS(Matches!H5:H52,Matches!F5:F52,W31,Matches!K5:K52,W30)+SUMIFS(Matches!I5:I52,Matches!K5:K52,W31,Matches!F5:F52,W28)+SUMIFS(Matches!I5:I52,Matches!K5:K52,W31,Matches!F5:F52,W29)+SUMIFS(Matches!I5:I52,Matches!K5:K52,W31,Matches!F5:F52,W30)</f>
        <v>0</v>
      </c>
      <c r="AD31" s="189">
        <f>SUMIFS(Matches!I5:I52,Matches!F5:F52,W31,Matches!K5:K52,W28)+SUMIFS(Matches!I5:I52,Matches!F5:F52,W31,Matches!K5:K52,W29)+SUMIFS(Matches!I5:I52,Matches!F5:F52,W31,Matches!K5:K52,W30)+SUMIFS(Matches!H5:H52,Matches!K5:K52,W31,Matches!F5:F52,W28)+SUMIFS(Matches!H5:H52,Matches!K5:K52,W31,Matches!F5:F52,W29)+SUMIFS(Matches!H5:H52,Matches!K5:K52,W31,Matches!F5:F52,W30)</f>
        <v>0</v>
      </c>
      <c r="AE31" s="189">
        <f t="shared" si="7"/>
        <v>0</v>
      </c>
      <c r="AF31" s="189">
        <f>AA31*1+Z31*3</f>
        <v>3</v>
      </c>
      <c r="AG31" s="189">
        <f t="shared" ref="AG31" si="266">IF(W31&lt;&gt;"",SUMPRODUCT((V28:V31=V31)*(AF28:AF31&gt;AF31)*1),0)</f>
        <v>0</v>
      </c>
      <c r="AH31" s="189">
        <f t="shared" ref="AH31" si="267">IF(W31&lt;&gt;"",SUMPRODUCT((AG28:AG31=AG31)*(AE28:AE31&gt;AE31)*1),0)</f>
        <v>0</v>
      </c>
      <c r="AI31" s="189">
        <f t="shared" si="0"/>
        <v>0</v>
      </c>
      <c r="AJ31" s="189">
        <f t="shared" ref="AJ31" si="268">IF(W31&lt;&gt;"",SUMPRODUCT((AI28:AI31=AI31)*(AG28:AG31=AG31)*(AC28:AC31&gt;AC31)*1),0)</f>
        <v>0</v>
      </c>
      <c r="AK31" s="189">
        <f t="shared" si="9"/>
        <v>1</v>
      </c>
      <c r="AL31" s="189">
        <f>SUMPRODUCT((Matches!F5:F52=X31)*(Matches!K5:K52=X29)*(Matches!H5:H52&gt;Matches!I5:I52)*1)+SUMPRODUCT((Matches!K5:K52=X31)*(Matches!F5:F52=X29)*(Matches!I5:I52&gt;Matches!H5:H52)*1)+SUMPRODUCT((Matches!F5:F52=X31)*(Matches!K5:K52=X30)*(Matches!H5:H52&gt;Matches!I5:I52)*1)+SUMPRODUCT((Matches!K5:K52=X31)*(Matches!F5:F52=X30)*(Matches!I5:I52&gt;Matches!H5:H52)*1)</f>
        <v>0</v>
      </c>
      <c r="AM31" s="189">
        <f>SUMPRODUCT((Matches!F5:F52=X31)*(Matches!K5:K52=X29)*(Matches!H5:H52=Matches!I5:I52)*1)+SUMPRODUCT((Matches!K5:K52=X31)*(Matches!F5:F52=X29)*(Matches!H5:H52=Matches!I5:I52)*1)+SUMPRODUCT((Matches!F5:F52=X31)*(Matches!K5:K52=X30)*(Matches!H5:H52=Matches!I5:I52)*1)+SUMPRODUCT((Matches!K5:K52=X31)*(Matches!F5:F52=X30)*(Matches!H5:H52=Matches!I5:I52)*1)</f>
        <v>0</v>
      </c>
      <c r="AN31" s="189">
        <f>SUMPRODUCT((Matches!F5:F52=X31)*(Matches!K5:K52=X29)*(Matches!H5:H52&lt;Matches!I5:I52)*1)+SUMPRODUCT((Matches!K5:K52=X31)*(Matches!F5:F52=X29)*(Matches!I5:I52&lt;Matches!H5:H52)*1)+SUMPRODUCT((Matches!F5:F52=X31)*(Matches!K5:K52=X30)*(Matches!H5:H52&lt;Matches!I5:I52)*1)+SUMPRODUCT((Matches!K5:K52=X31)*(Matches!F5:F52=X30)*(Matches!I5:I52&lt;Matches!H5:H52)*1)</f>
        <v>0</v>
      </c>
      <c r="AO31" s="189">
        <f>SUMIFS(Matches!H5:H52,Matches!F5:F52,X31,Matches!K5:K52,X29)+SUMIFS(Matches!H5:H52,Matches!F5:F52,X31,Matches!K5:K52,X30)+SUMIFS(Matches!I5:I52,Matches!K5:K52,X31,Matches!F5:F52,X29)+SUMIFS(Matches!I5:I52,Matches!K5:K52,X31,Matches!F5:F52,X30)</f>
        <v>0</v>
      </c>
      <c r="AP31" s="189">
        <f>SUMIFS(Matches!H5:H52,Matches!F5:F52,X31,Matches!K5:K52,X29)+SUMIFS(Matches!H5:H52,Matches!F5:F52,X31,Matches!K5:K52,X30)+SUMIFS(Matches!I5:I52,Matches!K5:K52,X31,Matches!F5:F52,X29)+SUMIFS(Matches!I5:I52,Matches!K5:K52,X31,Matches!F5:F52,X30)</f>
        <v>0</v>
      </c>
      <c r="AQ31" s="189">
        <f t="shared" si="10"/>
        <v>0</v>
      </c>
      <c r="AR31" s="189">
        <f t="shared" si="11"/>
        <v>0</v>
      </c>
      <c r="AS31" s="189">
        <f t="shared" ref="AS31" si="269">IF(X31&lt;&gt;"",SUMPRODUCT((V28:V31=V31)*(AR28:AR31&gt;AR31)*1),0)</f>
        <v>0</v>
      </c>
      <c r="AT31" s="189">
        <f t="shared" ref="AT31" si="270">IF(X31&lt;&gt;"",SUMPRODUCT((AS28:AS31=AS31)*(AQ28:AQ31&gt;AQ31)*1),0)</f>
        <v>0</v>
      </c>
      <c r="AU31" s="189">
        <f t="shared" si="12"/>
        <v>0</v>
      </c>
      <c r="AV31" s="189">
        <f t="shared" ref="AV31" si="271">IF(X31&lt;&gt;"",SUMPRODUCT((AU28:AU31=AU31)*(AS28:AS31=AS31)*(AO28:AO31&gt;AO31)*1),0)</f>
        <v>0</v>
      </c>
      <c r="AW31" s="189">
        <f t="shared" si="13"/>
        <v>1</v>
      </c>
      <c r="AX31" s="189">
        <f>SUMPRODUCT((Matches!F5:F52=Y31)*(Matches!K5:K52=Y30)*(Matches!H5:H52&gt;Matches!I5:I52)*1)+SUMPRODUCT((Matches!K5:K52=Y31)*(Matches!F5:F52=Y30)*(Matches!I5:I52&gt;Matches!H5:H52)*1)</f>
        <v>0</v>
      </c>
      <c r="AY31" s="189">
        <f>SUMPRODUCT((Matches!F5:F52=Y31)*(Matches!K5:K52=Y30)*(Matches!H5:H52=Matches!I5:I52)*1)+SUMPRODUCT((Matches!K5:K52=Y31)*(Matches!F5:F52=Y30)*(Matches!I5:I52=Matches!H5:H52)*1)</f>
        <v>0</v>
      </c>
      <c r="AZ31" s="189">
        <f>SUMPRODUCT((Matches!F5:F52=Y31)*(Matches!K5:K52=Y30)*(Matches!H5:H52&lt;Matches!I5:I52)*1)+SUMPRODUCT((Matches!K5:K52=Y31)*(Matches!F5:F52=Y30)*(Matches!I5:I52&lt;Matches!H5:H52)*1)</f>
        <v>0</v>
      </c>
      <c r="BA31" s="189">
        <f>SUMIFS(Matches!H5:H52,Matches!F5:F52,Y31,Matches!K5:K52,Y30)+SUMIFS(Matches!I5:I52,Matches!K5:K52,Y31,Matches!F5:F52,Y30)</f>
        <v>0</v>
      </c>
      <c r="BB31" s="189">
        <f>SUMIFS(Matches!H5:H52,Matches!F5:F52,Y31,Matches!K5:K52,Y30)+SUMIFS(Matches!I5:I52,Matches!K5:K52,Y31,Matches!F5:F52,Y30)</f>
        <v>0</v>
      </c>
      <c r="BC31" s="189">
        <f t="shared" si="256"/>
        <v>0</v>
      </c>
      <c r="BD31" s="189">
        <f t="shared" si="257"/>
        <v>0</v>
      </c>
      <c r="BE31" s="189">
        <f t="shared" ref="BE31" si="272">IF(Y31&lt;&gt;"",SUMPRODUCT((AH28:AH31=AH31)*(BD28:BD31&gt;BD31)*1),0)</f>
        <v>0</v>
      </c>
      <c r="BF31" s="189">
        <f t="shared" ref="BF31" si="273">IF(Y31&lt;&gt;"",SUMPRODUCT((BE28:BE31=BE31)*(BC28:BC31&gt;BC31)*1),0)</f>
        <v>0</v>
      </c>
      <c r="BG31" s="189">
        <f t="shared" si="260"/>
        <v>0</v>
      </c>
      <c r="BH31" s="189">
        <f t="shared" ref="BH31" si="274">IF(Y31&lt;&gt;"",SUMPRODUCT((BG28:BG31=BG31)*(BE28:BE31=BE31)*(BA28:BA31&gt;BA31)*1),0)</f>
        <v>0</v>
      </c>
      <c r="BI31" s="189">
        <f t="shared" si="17"/>
        <v>1</v>
      </c>
      <c r="BJ31" s="189">
        <f>SUMPRODUCT((BI28:BI31=BI31)*(A28:A31&gt;A31)*1)</f>
        <v>2</v>
      </c>
      <c r="BK31" s="189">
        <f t="shared" si="14"/>
        <v>3</v>
      </c>
      <c r="BM31" s="200" t="s">
        <v>136</v>
      </c>
      <c r="BN31" s="201"/>
      <c r="BO31" s="191" t="str">
        <f>Calculator!C30</f>
        <v>Brazil</v>
      </c>
      <c r="BP31" s="191" t="s">
        <v>685</v>
      </c>
      <c r="BQ31" s="191"/>
      <c r="BR31" s="189">
        <v>25</v>
      </c>
      <c r="BS31" s="202">
        <v>0</v>
      </c>
      <c r="BU31" s="22">
        <v>25</v>
      </c>
      <c r="BV31" s="193">
        <f t="shared" si="18"/>
        <v>44892.541666666664</v>
      </c>
      <c r="BW31" s="194">
        <v>44892.541666666664</v>
      </c>
      <c r="BX31" s="195">
        <f t="shared" si="19"/>
        <v>44892.541666666664</v>
      </c>
      <c r="BY31" s="189">
        <f>SUM(Matches!R29:R32)</f>
        <v>0</v>
      </c>
      <c r="BZ31" s="189" t="str">
        <f>INDEX(Language!$A$1:$K$117,MATCH(Setup!B32,Language!$B$1:$B$117,0),MATCH(Setup!$C$5,Language!$A$1:$J$1,0))</f>
        <v>Switzerland</v>
      </c>
    </row>
    <row r="32" spans="1:78" x14ac:dyDescent="0.35">
      <c r="A32" s="189">
        <f>INDEX(M4:M35,MATCH(U32,C4:C35,0),0)</f>
        <v>1636</v>
      </c>
      <c r="B32" s="189">
        <f t="shared" si="25"/>
        <v>1</v>
      </c>
      <c r="C32" s="189" t="str">
        <f t="shared" si="1"/>
        <v>Uruguay</v>
      </c>
      <c r="D32" s="189">
        <f t="shared" si="2"/>
        <v>0</v>
      </c>
      <c r="E32" s="189">
        <f>SUMPRODUCT((Matches!H5:H52&lt;&gt;"")*(Matches!F5:F52=C32)*(Matches!H5:H52&gt;Matches!I5:I52)*1)+SUMPRODUCT((Matches!H5:H52&lt;&gt;"")*(Matches!K5:K52=C32)*(Matches!I5:I52&gt;Matches!H5:H52)*1)</f>
        <v>0</v>
      </c>
      <c r="F32" s="189">
        <f>SUMPRODUCT((Matches!H5:H52&lt;&gt;"")*(Matches!F5:F52=C32)*(Matches!H5:H52=Matches!I5:I52)*1)+SUMPRODUCT((Matches!H5:H52&lt;&gt;"")*(Matches!K5:K52=C32)*(Matches!H5:H52=Matches!I5:I52)*1)</f>
        <v>0</v>
      </c>
      <c r="G32" s="189">
        <f>SUMPRODUCT((Matches!H5:H52&lt;&gt;"")*(Matches!F5:F52=C32)*(Matches!H5:H52&lt;Matches!I5:I52)*1)+SUMPRODUCT((Matches!H5:H52&lt;&gt;"")*(Matches!K5:K52=C32)*(Matches!I5:I52&lt;Matches!H5:H52)*1)</f>
        <v>0</v>
      </c>
      <c r="H32" s="189">
        <f>SUMIF(Matches!F5:F52,C32,Matches!H5:H52)+SUMIF(Matches!K5:K52,C32,Matches!I5:I52)</f>
        <v>0</v>
      </c>
      <c r="I32" s="189">
        <f>SUMIF(Matches!F5:F52,C32,Matches!I5:I52)+SUMIF(Matches!K5:K52,C32,Matches!H5:H52)</f>
        <v>0</v>
      </c>
      <c r="J32" s="189">
        <f t="shared" si="3"/>
        <v>0</v>
      </c>
      <c r="K32" s="189">
        <f t="shared" si="4"/>
        <v>0</v>
      </c>
      <c r="L32" s="189">
        <f>Setup!E36</f>
        <v>1636</v>
      </c>
      <c r="M32" s="189">
        <f>IF(Setup!F36&lt;&gt;"",Setup!F36,Setup!E36)</f>
        <v>1636</v>
      </c>
      <c r="N32" s="189">
        <f>RANK(K32,K32:K35)</f>
        <v>1</v>
      </c>
      <c r="O32" s="189">
        <f>SUMPRODUCT((N32:N35=N32)*(J32:J35&gt;J32)*1)</f>
        <v>0</v>
      </c>
      <c r="P32" s="189">
        <f t="shared" si="5"/>
        <v>1</v>
      </c>
      <c r="Q32" s="189">
        <f>SUMPRODUCT((N32:N35=N32)*(J32:J35=J32)*(H32:H35&gt;H32)*1)</f>
        <v>0</v>
      </c>
      <c r="R32" s="189">
        <f t="shared" si="6"/>
        <v>1</v>
      </c>
      <c r="S32" s="189">
        <f>RANK(R32,R32:R35,1)+COUNTIF(R32:R32,R32)-1</f>
        <v>1</v>
      </c>
      <c r="T32" s="189">
        <v>1</v>
      </c>
      <c r="U32" s="189" t="str">
        <f t="shared" ref="U32" si="275">INDEX(C32:C35,MATCH(T32,S32:S35,0),0)</f>
        <v>Uruguay</v>
      </c>
      <c r="V32" s="189">
        <f t="shared" ref="V32" si="276">INDEX(R32:R35,MATCH(U32,C32:C35,0),0)</f>
        <v>1</v>
      </c>
      <c r="W32" s="189" t="str">
        <f t="shared" ref="W32" si="277">IF(V33=1,U32,"")</f>
        <v>Uruguay</v>
      </c>
      <c r="Z32" s="189">
        <f>SUMPRODUCT((Matches!F5:F52=W32)*(Matches!K5:K52=W33)*(Matches!H5:H52&gt;Matches!I5:I52)*1)+SUMPRODUCT((Matches!K5:K52=W32)*(Matches!F5:F52=W33)*(Matches!I5:I52&gt;Matches!H5:H52)*1)+SUMPRODUCT((Matches!F5:F52=W32)*(Matches!K5:K52=W34)*(Matches!H5:H52&gt;Matches!I5:I52)*1)+SUMPRODUCT((Matches!K5:K52=W32)*(Matches!F5:F52=W34)*(Matches!I5:I52&gt;Matches!H5:H52)*1)+SUMPRODUCT((Matches!F5:F52=W32)*(Matches!K5:K52=W35)*(Matches!H5:H52&gt;Matches!I5:I52)*1)+SUMPRODUCT((Matches!K5:K52=W32)*(Matches!F5:F52=W35)*(Matches!I5:I52&gt;Matches!H5:H52)*1)</f>
        <v>0</v>
      </c>
      <c r="AA32" s="189">
        <f>SUMPRODUCT((Matches!F5:F52=W32)*(Matches!K5:K52=W33)*(Matches!H5:H52=Matches!I5:I52)*1)+SUMPRODUCT((Matches!K5:K52=W32)*(Matches!F5:F52=W33)*(Matches!H5:H52=Matches!I5:I52)*1)+SUMPRODUCT((Matches!F5:F52=W32)*(Matches!K5:K52=W34)*(Matches!H5:H52=Matches!I5:I52)*1)+SUMPRODUCT((Matches!K5:K52=W32)*(Matches!F5:F52=W34)*(Matches!H5:H52=Matches!I5:I52)*1)+SUMPRODUCT((Matches!F5:F52=W32)*(Matches!K5:K52=W35)*(Matches!H5:H52=Matches!I5:I52)*1)+SUMPRODUCT((Matches!K5:K52=W32)*(Matches!F5:F52=W35)*(Matches!H5:H52=Matches!I5:I52)*1)</f>
        <v>3</v>
      </c>
      <c r="AB32" s="189">
        <f>SUMPRODUCT((Matches!F5:F52=W32)*(Matches!K5:K52=W33)*(Matches!H5:H52&lt;Matches!I5:I52)*1)+SUMPRODUCT((Matches!K5:K52=W32)*(Matches!F5:F52=W33)*(Matches!I5:I52&lt;Matches!H5:H52)*1)+SUMPRODUCT((Matches!F5:F52=W32)*(Matches!K5:K52=W34)*(Matches!H5:H52&lt;Matches!I5:I52)*1)+SUMPRODUCT((Matches!K5:K52=W32)*(Matches!F5:F52=W34)*(Matches!I5:I52&lt;Matches!H5:H52)*1)+SUMPRODUCT((Matches!F5:F52=W32)*(Matches!K5:K52=W35)*(Matches!H5:H52&lt;Matches!I5:I52)*1)+SUMPRODUCT((Matches!K5:K52=W32)*(Matches!F5:F52=W35)*(Matches!I5:I52&lt;Matches!H5:H52)*1)</f>
        <v>0</v>
      </c>
      <c r="AC32" s="189">
        <f>SUMIFS(Matches!H5:H52,Matches!F5:F52,W32,Matches!K5:K52,W33)+SUMIFS(Matches!H5:H52,Matches!F5:F52,W32,Matches!K5:K52,W34)+SUMIFS(Matches!H5:H52,Matches!F5:F52,W32,Matches!K5:K52,W35)+SUMIFS(Matches!I5:I52,Matches!K5:K52,W32,Matches!F5:F52,W33)+SUMIFS(Matches!I5:I52,Matches!K5:K52,W32,Matches!F5:F52,W34)+SUMIFS(Matches!I5:I52,Matches!K5:K52,W32,Matches!F5:F52,W35)</f>
        <v>0</v>
      </c>
      <c r="AD32" s="189">
        <f>SUMIFS(Matches!I5:I52,Matches!F5:F52,W32,Matches!K5:K52,W33)+SUMIFS(Matches!I5:I52,Matches!F5:F52,W32,Matches!K5:K52,W34)+SUMIFS(Matches!I5:I52,Matches!F5:F52,W32,Matches!K5:K52,W35)+SUMIFS(Matches!H5:H52,Matches!K5:K52,W32,Matches!F5:F52,W33)+SUMIFS(Matches!H5:H52,Matches!K5:K52,W32,Matches!F5:F52,W34)+SUMIFS(Matches!H5:H52,Matches!K5:K52,W32,Matches!F5:F52,W35)</f>
        <v>0</v>
      </c>
      <c r="AE32" s="189">
        <f t="shared" si="7"/>
        <v>0</v>
      </c>
      <c r="AF32" s="189">
        <f t="shared" si="8"/>
        <v>3</v>
      </c>
      <c r="AG32" s="189">
        <f t="shared" ref="AG32" si="278">IF(W32&lt;&gt;"",SUMPRODUCT((V32:V35=V32)*(AF32:AF35&gt;AF32)*1),0)</f>
        <v>0</v>
      </c>
      <c r="AH32" s="189">
        <f t="shared" ref="AH32" si="279">IF(W32&lt;&gt;"",SUMPRODUCT((AG32:AG35=AG32)*(AE32:AE35&gt;AE32)*1),0)</f>
        <v>0</v>
      </c>
      <c r="AI32" s="189">
        <f t="shared" si="0"/>
        <v>0</v>
      </c>
      <c r="AJ32" s="189">
        <f t="shared" ref="AJ32" si="280">IF(W32&lt;&gt;"",SUMPRODUCT((AI32:AI35=AI32)*(AG32:AG35=AG32)*(AC32:AC35&gt;AC32)*1),0)</f>
        <v>0</v>
      </c>
      <c r="AK32" s="189">
        <f t="shared" si="9"/>
        <v>1</v>
      </c>
      <c r="AL32" s="189">
        <v>0</v>
      </c>
      <c r="AM32" s="189">
        <v>0</v>
      </c>
      <c r="AN32" s="189">
        <v>0</v>
      </c>
      <c r="AO32" s="189">
        <v>0</v>
      </c>
      <c r="AP32" s="189">
        <v>0</v>
      </c>
      <c r="AQ32" s="189">
        <f t="shared" si="10"/>
        <v>0</v>
      </c>
      <c r="AR32" s="189">
        <f t="shared" si="11"/>
        <v>0</v>
      </c>
      <c r="AS32" s="189">
        <v>0</v>
      </c>
      <c r="AT32" s="189">
        <v>0</v>
      </c>
      <c r="AU32" s="189">
        <f t="shared" si="12"/>
        <v>0</v>
      </c>
      <c r="AV32" s="189">
        <v>0</v>
      </c>
      <c r="AW32" s="189">
        <f t="shared" si="13"/>
        <v>1</v>
      </c>
      <c r="AX32" s="189">
        <v>0</v>
      </c>
      <c r="AY32" s="189">
        <v>0</v>
      </c>
      <c r="AZ32" s="189">
        <v>0</v>
      </c>
      <c r="BA32" s="189">
        <v>0</v>
      </c>
      <c r="BB32" s="189">
        <v>0</v>
      </c>
      <c r="BC32" s="189">
        <v>0</v>
      </c>
      <c r="BD32" s="189">
        <v>0</v>
      </c>
      <c r="BE32" s="189">
        <v>0</v>
      </c>
      <c r="BF32" s="189">
        <v>0</v>
      </c>
      <c r="BG32" s="189">
        <v>0</v>
      </c>
      <c r="BH32" s="189">
        <v>0</v>
      </c>
      <c r="BI32" s="189">
        <f t="shared" si="17"/>
        <v>1</v>
      </c>
      <c r="BJ32" s="189">
        <f>SUMPRODUCT((BI32:BI35=BI32)*(A32:A35&gt;A32)*1)</f>
        <v>1</v>
      </c>
      <c r="BK32" s="189">
        <f t="shared" si="14"/>
        <v>2</v>
      </c>
      <c r="BM32" s="200"/>
      <c r="BN32" s="201"/>
      <c r="BO32" s="191" t="str">
        <f>Calculator!C31</f>
        <v>Serbia</v>
      </c>
      <c r="BP32" s="191" t="s">
        <v>686</v>
      </c>
      <c r="BQ32" s="191"/>
      <c r="BR32" s="189">
        <v>26</v>
      </c>
      <c r="BS32" s="202" t="s">
        <v>156</v>
      </c>
      <c r="BU32" s="22">
        <v>26</v>
      </c>
      <c r="BV32" s="193">
        <f t="shared" si="18"/>
        <v>44892.666666666664</v>
      </c>
      <c r="BW32" s="194">
        <v>44892.666666666664</v>
      </c>
      <c r="BX32" s="195">
        <f t="shared" si="19"/>
        <v>44892.666666666664</v>
      </c>
      <c r="BZ32" s="189" t="str">
        <f>INDEX(Language!$A$1:$K$117,MATCH(Setup!B33,Language!$B$1:$B$117,0),MATCH(Setup!$C$5,Language!$A$1:$J$1,0))</f>
        <v>Cameroon</v>
      </c>
    </row>
    <row r="33" spans="1:78" x14ac:dyDescent="0.35">
      <c r="A33" s="189">
        <f>INDEX(M4:M35,MATCH(U33,C4:C35,0),0)</f>
        <v>1520</v>
      </c>
      <c r="B33" s="189">
        <f t="shared" si="25"/>
        <v>2</v>
      </c>
      <c r="C33" s="189" t="str">
        <f t="shared" si="1"/>
        <v>South Korea</v>
      </c>
      <c r="D33" s="189">
        <f t="shared" si="2"/>
        <v>0</v>
      </c>
      <c r="E33" s="189">
        <f>SUMPRODUCT((Matches!H5:H52&lt;&gt;"")*(Matches!F5:F52=C33)*(Matches!H5:H52&gt;Matches!I5:I52)*1)+SUMPRODUCT((Matches!H5:H52&lt;&gt;"")*(Matches!K5:K52=C33)*(Matches!I5:I52&gt;Matches!H5:H52)*1)</f>
        <v>0</v>
      </c>
      <c r="F33" s="189">
        <f>SUMPRODUCT((Matches!H5:H52&lt;&gt;"")*(Matches!F5:F52=C33)*(Matches!H5:H52=Matches!I5:I52)*1)+SUMPRODUCT((Matches!H5:H52&lt;&gt;"")*(Matches!K5:K52=C33)*(Matches!H5:H52=Matches!I5:I52)*1)</f>
        <v>0</v>
      </c>
      <c r="G33" s="189">
        <f>SUMPRODUCT((Matches!H5:H52&lt;&gt;"")*(Matches!F5:F52=C33)*(Matches!H5:H52&lt;Matches!I5:I52)*1)+SUMPRODUCT((Matches!H5:H52&lt;&gt;"")*(Matches!K5:K52=C33)*(Matches!I5:I52&lt;Matches!H5:H52)*1)</f>
        <v>0</v>
      </c>
      <c r="H33" s="189">
        <f>SUMIF(Matches!F5:F52,C33,Matches!H5:H52)+SUMIF(Matches!K5:K52,C33,Matches!I5:I52)</f>
        <v>0</v>
      </c>
      <c r="I33" s="189">
        <f>SUMIF(Matches!F5:F52,C33,Matches!I5:I52)+SUMIF(Matches!K5:K52,C33,Matches!H5:H52)</f>
        <v>0</v>
      </c>
      <c r="J33" s="189">
        <f t="shared" si="3"/>
        <v>0</v>
      </c>
      <c r="K33" s="189">
        <f t="shared" si="4"/>
        <v>0</v>
      </c>
      <c r="L33" s="189">
        <f>Setup!E37</f>
        <v>1520</v>
      </c>
      <c r="M33" s="189">
        <f>IF(Setup!F37&lt;&gt;"",Setup!F37,Setup!E37)</f>
        <v>1520</v>
      </c>
      <c r="N33" s="189">
        <f>RANK(K33,K32:K35)</f>
        <v>1</v>
      </c>
      <c r="O33" s="189">
        <f>SUMPRODUCT((N32:N35=N33)*(J32:J35&gt;J33)*1)</f>
        <v>0</v>
      </c>
      <c r="P33" s="189">
        <f t="shared" si="5"/>
        <v>1</v>
      </c>
      <c r="Q33" s="189">
        <f>SUMPRODUCT((N32:N35=N33)*(J32:J35=J33)*(H32:H35&gt;H33)*1)</f>
        <v>0</v>
      </c>
      <c r="R33" s="189">
        <f t="shared" si="6"/>
        <v>1</v>
      </c>
      <c r="S33" s="189">
        <f>RANK(R33,R32:R35,1)+COUNTIF(R32:R33,R33)-1</f>
        <v>2</v>
      </c>
      <c r="T33" s="189">
        <v>2</v>
      </c>
      <c r="U33" s="189" t="str">
        <f t="shared" ref="U33" si="281">INDEX(C32:C35,MATCH(T33,S32:S35,0),0)</f>
        <v>South Korea</v>
      </c>
      <c r="V33" s="189">
        <f t="shared" ref="V33" si="282">INDEX(R32:R35,MATCH(U33,C32:C35,0),0)</f>
        <v>1</v>
      </c>
      <c r="W33" s="189" t="str">
        <f t="shared" ref="W33" si="283">IF(W32&lt;&gt;"",U33,"")</f>
        <v>South Korea</v>
      </c>
      <c r="X33" s="189" t="str">
        <f t="shared" ref="X33" si="284">IF(V34=2,U33,"")</f>
        <v/>
      </c>
      <c r="Z33" s="189">
        <f>SUMPRODUCT((Matches!F5:F52=W33)*(Matches!K5:K52=W32)*(Matches!H5:H52&gt;Matches!I5:I52)*1)+SUMPRODUCT((Matches!K5:K52=W33)*(Matches!F5:F52=W32)*(Matches!I5:I52&gt;Matches!H5:H52)*1)+SUMPRODUCT((Matches!F5:F52=W33)*(Matches!K5:K52=W34)*(Matches!H5:H52&gt;Matches!I5:I52)*1)+SUMPRODUCT((Matches!K5:K52=W33)*(Matches!F5:F52=W34)*(Matches!I5:I52&gt;Matches!H5:H52)*1)+SUMPRODUCT((Matches!F5:F52=W33)*(Matches!K5:K52=W35)*(Matches!H5:H52&gt;Matches!I5:I52)*1)+SUMPRODUCT((Matches!K5:K52=W33)*(Matches!F5:F52=W35)*(Matches!I5:I52&gt;Matches!H5:H52)*1)</f>
        <v>0</v>
      </c>
      <c r="AA33" s="189">
        <f>SUMPRODUCT((Matches!F5:F52=W33)*(Matches!K5:K52=W32)*(Matches!H5:H52=Matches!I5:I52)*1)+SUMPRODUCT((Matches!K5:K52=W33)*(Matches!F5:F52=W32)*(Matches!H5:H52=Matches!I5:I52)*1)+SUMPRODUCT((Matches!F5:F52=W33)*(Matches!K5:K52=W34)*(Matches!H5:H52=Matches!I5:I52)*1)+SUMPRODUCT((Matches!K5:K52=W33)*(Matches!F5:F52=W34)*(Matches!H5:H52=Matches!I5:I52)*1)+SUMPRODUCT((Matches!F5:F52=W33)*(Matches!K5:K52=W35)*(Matches!H5:H52=Matches!I5:I52)*1)+SUMPRODUCT((Matches!K5:K52=W33)*(Matches!F5:F52=W35)*(Matches!H5:H52=Matches!I5:I52)*1)</f>
        <v>3</v>
      </c>
      <c r="AB33" s="189">
        <f>SUMPRODUCT((Matches!F5:F52=W33)*(Matches!K5:K52=W32)*(Matches!H5:H52&lt;Matches!I5:I52)*1)+SUMPRODUCT((Matches!K5:K52=W33)*(Matches!F5:F52=W32)*(Matches!I5:I52&lt;Matches!H5:H52)*1)+SUMPRODUCT((Matches!F5:F52=W33)*(Matches!K5:K52=W34)*(Matches!H5:H52&lt;Matches!I5:I52)*1)+SUMPRODUCT((Matches!K5:K52=W33)*(Matches!F5:F52=W34)*(Matches!I5:I52&lt;Matches!H5:H52)*1)+SUMPRODUCT((Matches!F5:F52=W33)*(Matches!K5:K52=W35)*(Matches!H5:H52&lt;Matches!I5:I52)*1)+SUMPRODUCT((Matches!K5:K52=W33)*(Matches!F5:F52=W35)*(Matches!I5:I52&lt;Matches!H5:H52)*1)</f>
        <v>0</v>
      </c>
      <c r="AC33" s="189">
        <f>SUMIFS(Matches!H5:H52,Matches!F5:F52,W33,Matches!K5:K52,W32)+SUMIFS(Matches!H5:H52,Matches!F5:F52,W33,Matches!K5:K52,W34)+SUMIFS(Matches!H5:H52,Matches!F5:F52,W33,Matches!K5:K52,W35)+SUMIFS(Matches!I5:I52,Matches!K5:K52,W33,Matches!F5:F52,W32)+SUMIFS(Matches!I5:I52,Matches!K5:K52,W33,Matches!F5:F52,W34)+SUMIFS(Matches!I5:I52,Matches!K5:K52,W33,Matches!F5:F52,W35)</f>
        <v>0</v>
      </c>
      <c r="AD33" s="189">
        <f>SUMIFS(Matches!I5:I52,Matches!F5:F52,W33,Matches!K5:K52,W32)+SUMIFS(Matches!I5:I52,Matches!F5:F52,W33,Matches!K5:K52,W34)+SUMIFS(Matches!I5:I52,Matches!F5:F52,W33,Matches!K5:K52,W35)+SUMIFS(Matches!H5:H52,Matches!K5:K52,W33,Matches!F5:F52,W32)+SUMIFS(Matches!H5:H52,Matches!K5:K52,W33,Matches!F5:F52,W34)+SUMIFS(Matches!H5:H52,Matches!K5:K52,W33,Matches!F5:F52,W35)</f>
        <v>0</v>
      </c>
      <c r="AE33" s="189">
        <f t="shared" si="7"/>
        <v>0</v>
      </c>
      <c r="AF33" s="189">
        <f t="shared" si="8"/>
        <v>3</v>
      </c>
      <c r="AG33" s="189">
        <f t="shared" ref="AG33" si="285">IF(W33&lt;&gt;"",SUMPRODUCT((V32:V35=V33)*(AF32:AF35&gt;AF33)*1),0)</f>
        <v>0</v>
      </c>
      <c r="AH33" s="189">
        <f t="shared" ref="AH33" si="286">IF(W33&lt;&gt;"",SUMPRODUCT((AG32:AG35=AG33)*(AE32:AE35&gt;AE33)*1),0)</f>
        <v>0</v>
      </c>
      <c r="AI33" s="189">
        <f t="shared" si="0"/>
        <v>0</v>
      </c>
      <c r="AJ33" s="189">
        <f t="shared" ref="AJ33" si="287">IF(W33&lt;&gt;"",SUMPRODUCT((AI32:AI35=AI33)*(AG32:AG35=AG33)*(AC32:AC35&gt;AC33)*1),0)</f>
        <v>0</v>
      </c>
      <c r="AK33" s="189">
        <f t="shared" si="9"/>
        <v>1</v>
      </c>
      <c r="AL33" s="189">
        <f>SUMPRODUCT((Matches!F5:F52=X33)*(Matches!K5:K52=X34)*(Matches!H5:H52&gt;Matches!I5:I52)*1)+SUMPRODUCT((Matches!K5:K52=X33)*(Matches!F5:F52=X34)*(Matches!I5:I52&gt;Matches!H5:H52)*1)+SUMPRODUCT((Matches!F5:F52=X33)*(Matches!K5:K52=X35)*(Matches!H5:H52&gt;Matches!I5:I52)*1)+SUMPRODUCT((Matches!K5:K52=X33)*(Matches!F5:F52=X35)*(Matches!I5:I52&gt;Matches!H5:H52)*1)</f>
        <v>0</v>
      </c>
      <c r="AM33" s="189">
        <f>SUMPRODUCT((Matches!F5:F52=X33)*(Matches!K5:K52=X34)*(Matches!H5:H52=Matches!I5:I52)*1)+SUMPRODUCT((Matches!K5:K52=X33)*(Matches!F5:F52=X34)*(Matches!H5:H52=Matches!I5:I52)*1)+SUMPRODUCT((Matches!F5:F52=X33)*(Matches!K5:K52=X35)*(Matches!H5:H52=Matches!I5:I52)*1)+SUMPRODUCT((Matches!K5:K52=X33)*(Matches!F5:F52=X35)*(Matches!H5:H52=Matches!I5:I52)*1)</f>
        <v>0</v>
      </c>
      <c r="AN33" s="189">
        <f>SUMPRODUCT((Matches!F5:F52=X33)*(Matches!K5:K52=X34)*(Matches!H5:H52&lt;Matches!I5:I52)*1)+SUMPRODUCT((Matches!K5:K52=X33)*(Matches!F5:F52=X34)*(Matches!I5:I52&lt;Matches!H5:H52)*1)+SUMPRODUCT((Matches!F5:F52=X33)*(Matches!K5:K52=X35)*(Matches!H5:H52&lt;Matches!I5:I52)*1)+SUMPRODUCT((Matches!K5:K52=X33)*(Matches!F5:F52=X35)*(Matches!I5:I52&lt;Matches!H5:H52)*1)</f>
        <v>0</v>
      </c>
      <c r="AO33" s="189">
        <f>SUMIFS(Matches!H5:H52,Matches!F5:F52,X33,Matches!K5:K52,X34)+SUMIFS(Matches!H5:H52,Matches!F5:F52,X33,Matches!K5:K52,X35)+SUMIFS(Matches!I5:I52,Matches!K5:K52,X33,Matches!F5:F52,X34)+SUMIFS(Matches!I5:I52,Matches!K5:K52,X33,Matches!F5:F52,X35)</f>
        <v>0</v>
      </c>
      <c r="AP33" s="189">
        <f>SUMIFS(Matches!I5:I52,Matches!F5:F52,X33,Matches!K5:K52,X34)+SUMIFS(Matches!I5:I52,Matches!F5:F52,X33,Matches!K5:K52,X35)+SUMIFS(Matches!H5:H52,Matches!K5:K52,X33,Matches!F5:F52,X34)+SUMIFS(Matches!H5:H52,Matches!K5:K52,X33,Matches!F5:F52,X35)</f>
        <v>0</v>
      </c>
      <c r="AQ33" s="189">
        <f t="shared" si="10"/>
        <v>0</v>
      </c>
      <c r="AR33" s="189">
        <f t="shared" si="11"/>
        <v>0</v>
      </c>
      <c r="AS33" s="189">
        <f t="shared" ref="AS33" si="288">IF(X33&lt;&gt;"",SUMPRODUCT((V32:V35=V33)*(AR32:AR35&gt;AR33)*1),0)</f>
        <v>0</v>
      </c>
      <c r="AT33" s="189">
        <f t="shared" ref="AT33" si="289">IF(X33&lt;&gt;"",SUMPRODUCT((AS32:AS35=AS33)*(AQ32:AQ35&gt;AQ33)*1),0)</f>
        <v>0</v>
      </c>
      <c r="AU33" s="189">
        <f t="shared" si="12"/>
        <v>0</v>
      </c>
      <c r="AV33" s="189">
        <f t="shared" ref="AV33" si="290">IF(X33&lt;&gt;"",SUMPRODUCT((AU32:AU35=AU33)*(AS32:AS35=AS33)*(AO32:AO35&gt;AO33)*1),0)</f>
        <v>0</v>
      </c>
      <c r="AW33" s="189">
        <f t="shared" si="13"/>
        <v>1</v>
      </c>
      <c r="AX33" s="189">
        <v>0</v>
      </c>
      <c r="AY33" s="189">
        <v>0</v>
      </c>
      <c r="AZ33" s="189">
        <v>0</v>
      </c>
      <c r="BA33" s="189">
        <v>0</v>
      </c>
      <c r="BB33" s="189">
        <v>0</v>
      </c>
      <c r="BC33" s="189">
        <v>0</v>
      </c>
      <c r="BD33" s="189">
        <v>0</v>
      </c>
      <c r="BE33" s="189">
        <v>0</v>
      </c>
      <c r="BF33" s="189">
        <v>0</v>
      </c>
      <c r="BG33" s="189">
        <v>0</v>
      </c>
      <c r="BH33" s="189">
        <v>0</v>
      </c>
      <c r="BI33" s="189">
        <f t="shared" si="17"/>
        <v>1</v>
      </c>
      <c r="BJ33" s="189">
        <f>SUMPRODUCT((BI32:BI35=BI33)*(A32:A35&gt;A33)*1)</f>
        <v>2</v>
      </c>
      <c r="BK33" s="189">
        <f t="shared" si="14"/>
        <v>3</v>
      </c>
      <c r="BM33" s="200"/>
      <c r="BN33" s="201"/>
      <c r="BO33" s="191" t="str">
        <f>Calculator!C28</f>
        <v>Switzerland</v>
      </c>
      <c r="BP33" s="191" t="s">
        <v>687</v>
      </c>
      <c r="BQ33" s="191"/>
      <c r="BR33" s="189">
        <v>27</v>
      </c>
      <c r="BS33" s="202" t="s">
        <v>157</v>
      </c>
      <c r="BU33" s="22">
        <v>27</v>
      </c>
      <c r="BV33" s="193">
        <f t="shared" si="18"/>
        <v>44892.791666666664</v>
      </c>
      <c r="BW33" s="194">
        <v>44892.791666666664</v>
      </c>
      <c r="BX33" s="195">
        <f t="shared" si="19"/>
        <v>44892.791666666664</v>
      </c>
      <c r="BZ33" s="189" t="str">
        <f>INDEX(Language!$A$1:$K$117,MATCH(Setup!B34,Language!$B$1:$B$117,0),MATCH(Setup!$C$5,Language!$A$1:$J$1,0))</f>
        <v>Brazil</v>
      </c>
    </row>
    <row r="34" spans="1:78" x14ac:dyDescent="0.35">
      <c r="A34" s="189">
        <f>INDEX(M4:M35,MATCH(U34,C4:C35,0),0)</f>
        <v>1675</v>
      </c>
      <c r="B34" s="189">
        <f>IF(Matches!B70="© 2022 | journalSHEET.com",B30,4)</f>
        <v>3</v>
      </c>
      <c r="C34" s="189" t="str">
        <f t="shared" si="1"/>
        <v>Portugal</v>
      </c>
      <c r="D34" s="189">
        <f t="shared" si="2"/>
        <v>0</v>
      </c>
      <c r="E34" s="189">
        <f>SUMPRODUCT((Matches!H5:H52&lt;&gt;"")*(Matches!F5:F52=C34)*(Matches!H5:H52&gt;Matches!I5:I52)*1)+SUMPRODUCT((Matches!H5:H52&lt;&gt;"")*(Matches!K5:K52=C34)*(Matches!I5:I52&gt;Matches!H5:H52)*1)</f>
        <v>0</v>
      </c>
      <c r="F34" s="189">
        <f>SUMPRODUCT((Matches!H5:H52&lt;&gt;"")*(Matches!F5:F52=C34)*(Matches!H5:H52=Matches!I5:I52)*1)+SUMPRODUCT((Matches!H5:H52&lt;&gt;"")*(Matches!K5:K52=C34)*(Matches!H5:H52=Matches!I5:I52)*1)</f>
        <v>0</v>
      </c>
      <c r="G34" s="189">
        <f>SUMPRODUCT((Matches!H5:H52&lt;&gt;"")*(Matches!F5:F52=C34)*(Matches!H5:H52&lt;Matches!I5:I52)*1)+SUMPRODUCT((Matches!H5:H52&lt;&gt;"")*(Matches!K5:K52=C34)*(Matches!I5:I52&lt;Matches!H5:H52)*1)</f>
        <v>0</v>
      </c>
      <c r="H34" s="189">
        <f>SUMIF(Matches!F5:F52,C34,Matches!H5:H52)+SUMIF(Matches!K5:K52,C34,Matches!I5:I52)</f>
        <v>0</v>
      </c>
      <c r="I34" s="189">
        <f>SUMIF(Matches!F5:F52,C34,Matches!I5:I52)+SUMIF(Matches!K5:K52,C34,Matches!H5:H52)</f>
        <v>0</v>
      </c>
      <c r="J34" s="189">
        <f t="shared" si="3"/>
        <v>0</v>
      </c>
      <c r="K34" s="189">
        <f t="shared" si="4"/>
        <v>0</v>
      </c>
      <c r="L34" s="189">
        <f>Setup!E38</f>
        <v>1675</v>
      </c>
      <c r="M34" s="189">
        <f>IF(Setup!F38&lt;&gt;"",Setup!F38,Setup!E38)</f>
        <v>1675</v>
      </c>
      <c r="N34" s="189">
        <f>RANK(K34,K32:K35)</f>
        <v>1</v>
      </c>
      <c r="O34" s="189">
        <f>SUMPRODUCT((N32:N35=N34)*(J32:J35&gt;J34)*1)</f>
        <v>0</v>
      </c>
      <c r="P34" s="189">
        <f t="shared" si="5"/>
        <v>1</v>
      </c>
      <c r="Q34" s="189">
        <f>SUMPRODUCT((N32:N35=N34)*(J32:J35=J34)*(H32:H35&gt;H34)*1)</f>
        <v>0</v>
      </c>
      <c r="R34" s="189">
        <f t="shared" si="6"/>
        <v>1</v>
      </c>
      <c r="S34" s="189">
        <f>RANK(R34,R32:R35,1)+COUNTIF(R32:R34,R34)-1</f>
        <v>3</v>
      </c>
      <c r="T34" s="189">
        <v>3</v>
      </c>
      <c r="U34" s="189" t="str">
        <f t="shared" ref="U34" si="291">INDEX(C32:C35,MATCH(T34,S32:S35,0),0)</f>
        <v>Portugal</v>
      </c>
      <c r="V34" s="189">
        <f t="shared" ref="V34" si="292">INDEX(R32:R35,MATCH(U34,C32:C35,0),0)</f>
        <v>1</v>
      </c>
      <c r="W34" s="189" t="str">
        <f t="shared" ref="W34:W35" si="293">IF(AND(W33&lt;&gt;"",V34=1),U34,"")</f>
        <v>Portugal</v>
      </c>
      <c r="X34" s="189" t="str">
        <f t="shared" ref="X34" si="294">IF(X33&lt;&gt;"",U34,"")</f>
        <v/>
      </c>
      <c r="Y34" s="189" t="str">
        <f t="shared" ref="Y34" si="295">IF(V35=3,U34,"")</f>
        <v/>
      </c>
      <c r="Z34" s="189">
        <f>SUMPRODUCT((Matches!F5:F52=W34)*(Matches!K5:K52=W32)*(Matches!H5:H52&gt;Matches!I5:I52)*1)+SUMPRODUCT((Matches!K5:K52=W34)*(Matches!F5:F52=W32)*(Matches!I5:I52&gt;Matches!H5:H52)*1)+SUMPRODUCT((Matches!F5:F52=W34)*(Matches!K5:K52=W33)*(Matches!H5:H52&gt;Matches!I5:I52)*1)+SUMPRODUCT((Matches!K5:K52=W34)*(Matches!F5:F52=W33)*(Matches!I5:I52&gt;Matches!H5:H52)*1)+SUMPRODUCT((Matches!F5:F52=W34)*(Matches!K5:K52=W35)*(Matches!H5:H52&gt;Matches!I5:I52)*1)+SUMPRODUCT((Matches!K5:K52=W34)*(Matches!F5:F52=W35)*(Matches!I5:I52&gt;Matches!H5:H52)*1)</f>
        <v>0</v>
      </c>
      <c r="AA34" s="189">
        <f>SUMPRODUCT((Matches!F5:F52=W34)*(Matches!K5:K52=W32)*(Matches!H5:H52=Matches!I5:I52)*1)+SUMPRODUCT((Matches!K5:K52=W34)*(Matches!F5:F52=W32)*(Matches!H5:H52=Matches!I5:I52)*1)+SUMPRODUCT((Matches!F5:F52=W34)*(Matches!K5:K52=W33)*(Matches!H5:H52=Matches!I5:I52)*1)+SUMPRODUCT((Matches!K5:K52=W34)*(Matches!F5:F52=W33)*(Matches!H5:H52=Matches!I5:I52)*1)+SUMPRODUCT((Matches!F5:F52=W34)*(Matches!K5:K52=W35)*(Matches!H5:H52=Matches!I5:I52)*1)+SUMPRODUCT((Matches!K5:K52=W34)*(Matches!F5:F52=W35)*(Matches!H5:H52=Matches!I5:I52)*1)</f>
        <v>3</v>
      </c>
      <c r="AB34" s="189">
        <f>SUMPRODUCT((Matches!F5:F52=W34)*(Matches!K5:K52=W32)*(Matches!H5:H52&lt;Matches!I5:I52)*1)+SUMPRODUCT((Matches!K5:K52=W34)*(Matches!F5:F52=W32)*(Matches!I5:I52&lt;Matches!H5:H52)*1)+SUMPRODUCT((Matches!F5:F52=W34)*(Matches!K5:K52=W33)*(Matches!H5:H52&lt;Matches!I5:I52)*1)+SUMPRODUCT((Matches!K5:K52=W34)*(Matches!F5:F52=W33)*(Matches!I5:I52&lt;Matches!H5:H52)*1)+SUMPRODUCT((Matches!F5:F52=W34)*(Matches!K5:K52=W35)*(Matches!H5:H52&lt;Matches!I5:I52)*1)+SUMPRODUCT((Matches!K5:K52=W34)*(Matches!F5:F52=W35)*(Matches!I5:I52&lt;Matches!H5:H52)*1)</f>
        <v>0</v>
      </c>
      <c r="AC34" s="189">
        <f>SUMIFS(Matches!H5:H52,Matches!F5:F52,W34,Matches!K5:K52,W32)+SUMIFS(Matches!H5:H52,Matches!F5:F52,W34,Matches!K5:K52,W33)+SUMIFS(Matches!H5:H52,Matches!F5:F52,W34,Matches!K5:K52,W35)+SUMIFS(Matches!I5:I52,Matches!K5:K52,W34,Matches!F5:F52,W32)+SUMIFS(Matches!I5:I52,Matches!K5:K52,W34,Matches!F5:F52,W33)+SUMIFS(Matches!I5:I52,Matches!K5:K52,W34,Matches!F5:F52,W35)</f>
        <v>0</v>
      </c>
      <c r="AD34" s="189">
        <f>SUMIFS(Matches!I5:I52,Matches!F5:F52,W34,Matches!K5:K52,W32)+SUMIFS(Matches!I5:I52,Matches!F5:F52,W34,Matches!K5:K52,W33)+SUMIFS(Matches!I5:I52,Matches!F5:F52,W34,Matches!K5:K52,W35)+SUMIFS(Matches!H5:H52,Matches!K5:K52,W34,Matches!F5:F52,W32)+SUMIFS(Matches!H5:H52,Matches!K5:K52,W34,Matches!F5:F52,W33)+SUMIFS(Matches!H5:H52,Matches!K5:K52,W34,Matches!F5:F52,W35)</f>
        <v>0</v>
      </c>
      <c r="AE34" s="189">
        <f t="shared" si="7"/>
        <v>0</v>
      </c>
      <c r="AF34" s="189">
        <f t="shared" si="8"/>
        <v>3</v>
      </c>
      <c r="AG34" s="189">
        <f t="shared" ref="AG34" si="296">IF(W34&lt;&gt;"",SUMPRODUCT((V32:V35=V34)*(AF32:AF35&gt;AF34)*1),0)</f>
        <v>0</v>
      </c>
      <c r="AH34" s="189">
        <f t="shared" ref="AH34" si="297">IF(W34&lt;&gt;"",SUMPRODUCT((AG32:AG35=AG34)*(AE32:AE35&gt;AE34)*1),0)</f>
        <v>0</v>
      </c>
      <c r="AI34" s="189">
        <f t="shared" si="0"/>
        <v>0</v>
      </c>
      <c r="AJ34" s="189">
        <f t="shared" ref="AJ34" si="298">IF(W34&lt;&gt;"",SUMPRODUCT((AI32:AI35=AI34)*(AG32:AG35=AG34)*(AC32:AC35&gt;AC34)*1),0)</f>
        <v>0</v>
      </c>
      <c r="AK34" s="189">
        <f t="shared" si="9"/>
        <v>1</v>
      </c>
      <c r="AL34" s="189">
        <f>SUMPRODUCT((Matches!F5:F52=X34)*(Matches!K5:K52=X33)*(Matches!H5:H52&gt;Matches!I5:I52)*1)+SUMPRODUCT((Matches!K5:K52=X34)*(Matches!F5:F52=X33)*(Matches!I5:I52&gt;Matches!H5:H52)*1)+SUMPRODUCT((Matches!F5:F52=X34)*(Matches!K5:K52=X35)*(Matches!H5:H52&gt;Matches!I5:I52)*1)+SUMPRODUCT((Matches!K5:K52=X34)*(Matches!F5:F52=X35)*(Matches!I5:I52&gt;Matches!H5:H52)*1)</f>
        <v>0</v>
      </c>
      <c r="AM34" s="189">
        <f>SUMPRODUCT((Matches!F5:F52=X34)*(Matches!K5:K52=X33)*(Matches!H5:H52=Matches!I5:I52)*1)+SUMPRODUCT((Matches!K5:K52=X34)*(Matches!F5:F52=X33)*(Matches!H5:H52=Matches!I5:I52)*1)+SUMPRODUCT((Matches!F5:F52=X34)*(Matches!K5:K52=X35)*(Matches!H5:H52=Matches!I5:I52)*1)+SUMPRODUCT((Matches!K5:K52=X34)*(Matches!F5:F52=X35)*(Matches!H5:H52=Matches!I5:I52)*1)</f>
        <v>0</v>
      </c>
      <c r="AN34" s="189">
        <f>SUMPRODUCT((Matches!F5:F52=X34)*(Matches!K5:K52=X33)*(Matches!H5:H52&lt;Matches!I5:I52)*1)+SUMPRODUCT((Matches!K5:K52=X34)*(Matches!F5:F52=X33)*(Matches!I5:I52&lt;Matches!H5:H52)*1)+SUMPRODUCT((Matches!F5:F52=X34)*(Matches!K5:K52=X35)*(Matches!H5:H52&lt;Matches!I5:I52)*1)+SUMPRODUCT((Matches!K5:K52=X34)*(Matches!F5:F52=X35)*(Matches!I5:I52&lt;Matches!H5:H52)*1)</f>
        <v>0</v>
      </c>
      <c r="AO34" s="189">
        <f>SUMIFS(Matches!H5:H52,Matches!F5:F52,X34,Matches!K5:K52,X33)+SUMIFS(Matches!H5:H52,Matches!F5:F52,X34,Matches!K5:K52,X35)+SUMIFS(Matches!I5:I52,Matches!K5:K52,X34,Matches!F5:F52,X33)+SUMIFS(Matches!I5:I52,Matches!K5:K52,X34,Matches!F5:F52,X35)</f>
        <v>0</v>
      </c>
      <c r="AP34" s="189">
        <f>SUMIFS(Matches!I5:I52,Matches!F5:F52,X34,Matches!K5:K52,X33)+SUMIFS(Matches!I5:I52,Matches!F5:F52,X34,Matches!K5:K52,X35)+SUMIFS(Matches!H5:H52,Matches!K5:K52,X34,Matches!F5:F52,X33)+SUMIFS(Matches!H5:H52,Matches!K5:K52,X34,Matches!F5:F52,X35)</f>
        <v>0</v>
      </c>
      <c r="AQ34" s="189">
        <f t="shared" si="10"/>
        <v>0</v>
      </c>
      <c r="AR34" s="189">
        <f>AM34*1+AL34*3</f>
        <v>0</v>
      </c>
      <c r="AS34" s="189">
        <f t="shared" ref="AS34" si="299">IF(X34&lt;&gt;"",SUMPRODUCT((V32:V35=V34)*(AR32:AR35&gt;AR34)*1),0)</f>
        <v>0</v>
      </c>
      <c r="AT34" s="189">
        <f t="shared" ref="AT34" si="300">IF(X34&lt;&gt;"",SUMPRODUCT((AS32:AS35=AS34)*(AQ32:AQ35&gt;AQ34)*1),0)</f>
        <v>0</v>
      </c>
      <c r="AU34" s="189">
        <f t="shared" si="12"/>
        <v>0</v>
      </c>
      <c r="AV34" s="189">
        <f t="shared" ref="AV34" si="301">IF(X34&lt;&gt;"",SUMPRODUCT((AU32:AU35=AU34)*(AS32:AS35=AS34)*(AO32:AO35&gt;AO34)*1),0)</f>
        <v>0</v>
      </c>
      <c r="AW34" s="189">
        <f t="shared" si="13"/>
        <v>1</v>
      </c>
      <c r="AX34" s="189">
        <f>SUMPRODUCT((Matches!F5:F52=Y34)*(Matches!K5:K52=Y35)*(Matches!H5:H52&gt;Matches!I5:I52)*1)+SUMPRODUCT((Matches!K5:K52=Y34)*(Matches!F5:F52=Y35)*(Matches!I5:I52&gt;Matches!H5:H52)*1)</f>
        <v>0</v>
      </c>
      <c r="AY34" s="189">
        <f>SUMPRODUCT((Matches!F5:F52=Y34)*(Matches!K5:K52=Y35)*(Matches!H5:H52=Matches!I5:I52)*1)+SUMPRODUCT((Matches!K5:K52=Y34)*(Matches!F5:F52=Y35)*(Matches!I5:I52=Matches!H5:H52)*1)</f>
        <v>0</v>
      </c>
      <c r="AZ34" s="189">
        <f>SUMPRODUCT((Matches!F5:F52=Y34)*(Matches!K5:K52=Y35)*(Matches!H5:H52&lt;Matches!I5:I52)*1)+SUMPRODUCT((Matches!K5:K52=Y34)*(Matches!F5:F52=Y35)*(Matches!I5:I52&lt;Matches!H5:H52)*1)</f>
        <v>0</v>
      </c>
      <c r="BA34" s="189">
        <f>SUMIFS(Matches!H5:H52,Matches!F5:F52,Y34,Matches!K5:K52,Y35)+SUMIFS(Matches!I5:I52,Matches!K5:K52,Y34,Matches!F5:F52,Y35)</f>
        <v>0</v>
      </c>
      <c r="BB34" s="189">
        <f>SUMIFS(Matches!I5:I52,Matches!F5:F52,Y34,Matches!K5:K52,Y35)+SUMIFS(Matches!H5:H52,Matches!K5:K52,Y34,Matches!F5:F52,Y35)</f>
        <v>0</v>
      </c>
      <c r="BC34" s="189">
        <f t="shared" ref="BC34:BC35" si="302">BA34-BB34</f>
        <v>0</v>
      </c>
      <c r="BD34" s="189">
        <f t="shared" ref="BD34:BD35" si="303">AY34*1+AX34*3</f>
        <v>0</v>
      </c>
      <c r="BE34" s="189">
        <f t="shared" ref="BE34" si="304">IF(Y34&lt;&gt;"",SUMPRODUCT((AH32:AH35=AH34)*(BD32:BD35&gt;BD34)*1),0)</f>
        <v>0</v>
      </c>
      <c r="BF34" s="189">
        <f t="shared" ref="BF34" si="305">IF(Y34&lt;&gt;"",SUMPRODUCT((BE32:BE35=BE34)*(BC32:BC35&gt;BC34)*1),0)</f>
        <v>0</v>
      </c>
      <c r="BG34" s="189">
        <f t="shared" ref="BG34:BG35" si="306">BE34+BF34</f>
        <v>0</v>
      </c>
      <c r="BH34" s="189">
        <f t="shared" ref="BH34" si="307">IF(Y34&lt;&gt;"",SUMPRODUCT((BG32:BG35=BG34)*(BE32:BE35=BE34)*(BA32:BA35&gt;BA34)*1),0)</f>
        <v>0</v>
      </c>
      <c r="BI34" s="189">
        <f t="shared" si="17"/>
        <v>1</v>
      </c>
      <c r="BJ34" s="189">
        <f>SUMPRODUCT((BI32:BI35=BI34)*(A32:A35&gt;A34)*1)</f>
        <v>0</v>
      </c>
      <c r="BK34" s="189">
        <f t="shared" si="14"/>
        <v>1</v>
      </c>
      <c r="BM34" s="200"/>
      <c r="BN34" s="201"/>
      <c r="BO34" s="191" t="str">
        <f>Calculator!C29</f>
        <v>Cameroon</v>
      </c>
      <c r="BP34" s="191" t="s">
        <v>688</v>
      </c>
      <c r="BQ34" s="191"/>
      <c r="BR34" s="189">
        <v>28</v>
      </c>
      <c r="BS34" s="202" t="s">
        <v>158</v>
      </c>
      <c r="BU34" s="22">
        <v>28</v>
      </c>
      <c r="BV34" s="193">
        <f t="shared" si="18"/>
        <v>44892.916666666664</v>
      </c>
      <c r="BW34" s="194">
        <v>44892.916666666664</v>
      </c>
      <c r="BX34" s="195">
        <f t="shared" si="19"/>
        <v>44892.916666666664</v>
      </c>
      <c r="BZ34" s="189" t="str">
        <f>INDEX(Language!$A$1:$K$117,MATCH(Setup!B35,Language!$B$1:$B$117,0),MATCH(Setup!$C$5,Language!$A$1:$J$1,0))</f>
        <v>Serbia</v>
      </c>
    </row>
    <row r="35" spans="1:78" ht="15.5" x14ac:dyDescent="0.35">
      <c r="A35" s="189">
        <f>INDEX(M4:M35,MATCH(U35,C4:C35,0),0)</f>
        <v>1387</v>
      </c>
      <c r="B35" s="189">
        <f>B31</f>
        <v>4</v>
      </c>
      <c r="C35" s="189" t="str">
        <f t="shared" si="1"/>
        <v>Ghana</v>
      </c>
      <c r="D35" s="189">
        <f t="shared" si="2"/>
        <v>0</v>
      </c>
      <c r="E35" s="189">
        <f>SUMPRODUCT((Matches!H5:H52&lt;&gt;"")*(Matches!F5:F52=C35)*(Matches!H5:H52&gt;Matches!I5:I52)*1)+SUMPRODUCT((Matches!H5:H52&lt;&gt;"")*(Matches!K5:K52=C35)*(Matches!I5:I52&gt;Matches!H5:H52)*1)</f>
        <v>0</v>
      </c>
      <c r="F35" s="189">
        <f>SUMPRODUCT((Matches!H5:H52&lt;&gt;"")*(Matches!F5:F52=C35)*(Matches!H5:H52=Matches!I5:I52)*1)+SUMPRODUCT((Matches!H5:H52&lt;&gt;"")*(Matches!K5:K52=C35)*(Matches!H5:H52=Matches!I5:I52)*1)</f>
        <v>0</v>
      </c>
      <c r="G35" s="189">
        <f>SUMPRODUCT((Matches!H5:H52&lt;&gt;"")*(Matches!F5:F52=C35)*(Matches!H5:H52&lt;Matches!I5:I52)*1)+SUMPRODUCT((Matches!H5:H52&lt;&gt;"")*(Matches!K5:K52=C35)*(Matches!I5:I52&lt;Matches!H5:H52)*1)</f>
        <v>0</v>
      </c>
      <c r="H35" s="189">
        <f>SUMIF(Matches!F5:F52,C35,Matches!H5:H52)+SUMIF(Matches!K5:K52,C35,Matches!I5:I52)</f>
        <v>0</v>
      </c>
      <c r="I35" s="189">
        <f>SUMIF(Matches!F5:F52,C35,Matches!I5:I52)+SUMIF(Matches!K5:K52,C35,Matches!H5:H52)</f>
        <v>0</v>
      </c>
      <c r="J35" s="189">
        <f t="shared" si="3"/>
        <v>0</v>
      </c>
      <c r="K35" s="189">
        <f t="shared" si="4"/>
        <v>0</v>
      </c>
      <c r="L35" s="189">
        <f>Setup!E39</f>
        <v>1387</v>
      </c>
      <c r="M35" s="189">
        <f>IF(Setup!F39&lt;&gt;"",Setup!F39,Setup!E39)</f>
        <v>1387</v>
      </c>
      <c r="N35" s="189">
        <f>RANK(K35,K32:K35)</f>
        <v>1</v>
      </c>
      <c r="O35" s="189">
        <f>SUMPRODUCT((N32:N35=N35)*(J32:J35&gt;J35)*1)</f>
        <v>0</v>
      </c>
      <c r="P35" s="189">
        <f t="shared" si="5"/>
        <v>1</v>
      </c>
      <c r="Q35" s="189">
        <f>SUMPRODUCT((N32:N35=N35)*(J32:J35=J35)*(H32:H35&gt;H35)*1)</f>
        <v>0</v>
      </c>
      <c r="R35" s="189">
        <f t="shared" si="6"/>
        <v>1</v>
      </c>
      <c r="S35" s="189">
        <f>RANK(R35,R32:R35,1)+COUNTIF(R32:R35,R35)-1</f>
        <v>4</v>
      </c>
      <c r="T35" s="189">
        <v>4</v>
      </c>
      <c r="U35" s="189" t="str">
        <f t="shared" ref="U35" si="308">INDEX(C32:C35,MATCH(T35,S32:S35,0),0)</f>
        <v>Ghana</v>
      </c>
      <c r="V35" s="189">
        <f t="shared" ref="V35" si="309">INDEX(R32:R35,MATCH(U35,C32:C35,0),0)</f>
        <v>1</v>
      </c>
      <c r="W35" s="189" t="str">
        <f t="shared" si="293"/>
        <v>Ghana</v>
      </c>
      <c r="X35" s="189" t="str">
        <f t="shared" ref="X35" si="310">IF(AND(X34&lt;&gt;"",V35=2),U35,"")</f>
        <v/>
      </c>
      <c r="Y35" s="189" t="str">
        <f t="shared" ref="Y35" si="311">IF(AND(Y34&lt;&gt;"",V35=3),U35,"")</f>
        <v/>
      </c>
      <c r="Z35" s="189">
        <f>SUMPRODUCT((Matches!F5:F52=W35)*(Matches!K5:K52=W32)*(Matches!H5:H52&gt;Matches!I5:I52)*1)+SUMPRODUCT((Matches!K5:K52=W35)*(Matches!F5:F52=W32)*(Matches!I5:I52&gt;Matches!H5:H52)*1)+SUMPRODUCT((Matches!F5:F52=W35)*(Matches!K5:K52=W33)*(Matches!H5:H52&gt;Matches!I5:I52)*1)+SUMPRODUCT((Matches!K5:K52=W35)*(Matches!F5:F52=W33)*(Matches!I5:I52&gt;Matches!H5:H52)*1)+SUMPRODUCT((Matches!F5:F52=W35)*(Matches!K5:K52=W34)*(Matches!H5:H52&gt;Matches!I5:I52)*1)+SUMPRODUCT((Matches!K5:K52=W35)*(Matches!F5:F52=W34)*(Matches!I5:I52&gt;Matches!H5:H52)*1)</f>
        <v>0</v>
      </c>
      <c r="AA35" s="189">
        <f>SUMPRODUCT((Matches!F5:F52=W35)*(Matches!K5:K52=W32)*(Matches!H5:H52&gt;=Matches!I5:I52)*1)+SUMPRODUCT((Matches!K5:K52=W35)*(Matches!F5:F52=W32)*(Matches!H5:H52=Matches!I5:I52)*1)+SUMPRODUCT((Matches!F5:F52=W35)*(Matches!K5:K52=W33)*(Matches!H5:H52=Matches!I5:I52)*1)+SUMPRODUCT((Matches!K5:K52=W35)*(Matches!F5:F52=W33)*(Matches!H5:H52=Matches!I5:I52)*1)+SUMPRODUCT((Matches!F5:F52=W35)*(Matches!K5:K52=W34)*(Matches!H5:H52=Matches!I5:I52)*1)+SUMPRODUCT((Matches!K5:K52=W35)*(Matches!F5:F52=W34)*(Matches!H5:H52=Matches!I5:I52)*1)</f>
        <v>3</v>
      </c>
      <c r="AB35" s="189">
        <f>SUMPRODUCT((Matches!F5:F52=W35)*(Matches!K5:K52=W32)*(Matches!H5:H52&lt;Matches!I5:I52)*1)+SUMPRODUCT((Matches!K5:K52=W35)*(Matches!F5:F52=W32)*(Matches!I5:I52&lt;Matches!H5:H52)*1)+SUMPRODUCT((Matches!F5:F52=W35)*(Matches!K5:K52=W33)*(Matches!H5:H52&lt;Matches!I5:I52)*1)+SUMPRODUCT((Matches!K5:K52=W35)*(Matches!F5:F52=W33)*(Matches!I5:I52&lt;Matches!H5:H52)*1)+SUMPRODUCT((Matches!F5:F52=W35)*(Matches!K5:K52=W34)*(Matches!H5:H52&lt;Matches!I5:I52)*1)+SUMPRODUCT((Matches!K5:K52=W35)*(Matches!F5:F52=W34)*(Matches!I5:I52&lt;Matches!H5:H52)*1)</f>
        <v>0</v>
      </c>
      <c r="AC35" s="189">
        <f>SUMIFS(Matches!H5:H52,Matches!F5:F52,W35,Matches!K5:K52,W32)+SUMIFS(Matches!H5:H52,Matches!F5:F52,W35,Matches!K5:K52,W33)+SUMIFS(Matches!H5:H52,Matches!F5:F52,W35,Matches!K5:K52,W34)+SUMIFS(Matches!I5:I52,Matches!K5:K52,W35,Matches!F5:F52,W32)+SUMIFS(Matches!I5:I52,Matches!K5:K52,W35,Matches!F5:F52,W33)+SUMIFS(Matches!I5:I52,Matches!K5:K52,W35,Matches!F5:F52,W34)</f>
        <v>0</v>
      </c>
      <c r="AD35" s="189">
        <f>SUMIFS(Matches!I5:I52,Matches!F5:F52,W35,Matches!K5:K52,W32)+SUMIFS(Matches!I5:I52,Matches!F5:F52,W35,Matches!K5:K52,W33)+SUMIFS(Matches!I5:I52,Matches!F5:F52,W35,Matches!K5:K52,W34)+SUMIFS(Matches!H5:H52,Matches!K5:K52,W35,Matches!F5:F52,W32)+SUMIFS(Matches!H5:H52,Matches!K5:K52,W35,Matches!F5:F52,W33)+SUMIFS(Matches!H5:H52,Matches!K5:K52,W35,Matches!F5:F52,W34)</f>
        <v>0</v>
      </c>
      <c r="AE35" s="189">
        <f t="shared" si="7"/>
        <v>0</v>
      </c>
      <c r="AF35" s="189">
        <f t="shared" si="8"/>
        <v>3</v>
      </c>
      <c r="AG35" s="189">
        <f t="shared" ref="AG35" si="312">IF(W35&lt;&gt;"",SUMPRODUCT((V32:V35=V35)*(AF32:AF35&gt;AF35)*1),0)</f>
        <v>0</v>
      </c>
      <c r="AH35" s="189">
        <f t="shared" ref="AH35" si="313">IF(W35&lt;&gt;"",SUMPRODUCT((AG32:AG35=AG35)*(AE32:AE35&gt;AE35)*1),0)</f>
        <v>0</v>
      </c>
      <c r="AI35" s="189">
        <f t="shared" si="0"/>
        <v>0</v>
      </c>
      <c r="AJ35" s="189">
        <f t="shared" ref="AJ35" si="314">IF(W35&lt;&gt;"",SUMPRODUCT((AI32:AI35=AI35)*(AG32:AG35=AG35)*(AC32:AC35&gt;AC35)*1),0)</f>
        <v>0</v>
      </c>
      <c r="AK35" s="189">
        <f t="shared" si="9"/>
        <v>1</v>
      </c>
      <c r="AL35" s="189">
        <f>SUMPRODUCT((Matches!F5:F52=X35)*(Matches!K5:K52=X33)*(Matches!H5:H52&gt;Matches!I5:I52)*1)+SUMPRODUCT((Matches!K5:K52=X35)*(Matches!F5:F52=X33)*(Matches!I5:I52&gt;Matches!H5:H52)*1)+SUMPRODUCT((Matches!F5:F52=X35)*(Matches!K5:K52=X34)*(Matches!H5:H52&gt;Matches!I5:I52)*1)+SUMPRODUCT((Matches!K5:K52=X35)*(Matches!F5:F52=X34)*(Matches!I5:I52&gt;Matches!H5:H52)*1)</f>
        <v>0</v>
      </c>
      <c r="AM35" s="189">
        <f>SUMPRODUCT((Matches!F5:F52=X35)*(Matches!K5:K52=X33)*(Matches!H5:H52=Matches!I5:I52)*1)+SUMPRODUCT((Matches!K5:K52=X35)*(Matches!F5:F52=X33)*(Matches!H5:H52=Matches!I5:I52)*1)+SUMPRODUCT((Matches!F5:F52=X35)*(Matches!K5:K52=X34)*(Matches!H5:H52=Matches!I5:I52)*1)+SUMPRODUCT((Matches!K5:K52=X35)*(Matches!F5:F52=X34)*(Matches!H5:H52=Matches!I5:I52)*1)</f>
        <v>0</v>
      </c>
      <c r="AN35" s="189">
        <f>SUMPRODUCT((Matches!F5:F52=X35)*(Matches!K5:K52=X33)*(Matches!H5:H52&lt;Matches!I5:I52)*1)+SUMPRODUCT((Matches!K5:K52=X35)*(Matches!F5:F52=X33)*(Matches!I5:I52&lt;Matches!H5:H52)*1)+SUMPRODUCT((Matches!F5:F52=X35)*(Matches!K5:K52=X34)*(Matches!H5:H52&lt;Matches!I5:I52)*1)+SUMPRODUCT((Matches!K5:K52=X35)*(Matches!F5:F52=X34)*(Matches!I5:I52&lt;Matches!H5:H52)*1)</f>
        <v>0</v>
      </c>
      <c r="AO35" s="189">
        <f>SUMIFS(Matches!H5:H52,Matches!F5:F52,X35,Matches!K5:K52,X33)+SUMIFS(Matches!H5:H52,Matches!F5:F52,X35,Matches!K5:K52,X34)+SUMIFS(Matches!I5:I52,Matches!K5:K52,X35,Matches!F5:F52,X33)+SUMIFS(Matches!I5:I52,Matches!K5:K52,X35,Matches!F5:F52,X34)</f>
        <v>0</v>
      </c>
      <c r="AP35" s="189">
        <f>SUMIFS(Matches!H5:H52,Matches!F5:F52,X35,Matches!K5:K52,X33)+SUMIFS(Matches!H5:H52,Matches!F5:F52,X35,Matches!K5:K52,X34)+SUMIFS(Matches!I5:I52,Matches!K5:K52,X35,Matches!F5:F52,X33)+SUMIFS(Matches!I5:I52,Matches!K5:K52,X35,Matches!F5:F52,X34)</f>
        <v>0</v>
      </c>
      <c r="AQ35" s="189">
        <f t="shared" si="10"/>
        <v>0</v>
      </c>
      <c r="AR35" s="189">
        <f t="shared" si="11"/>
        <v>0</v>
      </c>
      <c r="AS35" s="189">
        <f t="shared" ref="AS35" si="315">IF(X35&lt;&gt;"",SUMPRODUCT((V32:V35=V35)*(AR32:AR35&gt;AR35)*1),0)</f>
        <v>0</v>
      </c>
      <c r="AT35" s="189">
        <f t="shared" ref="AT35" si="316">IF(X35&lt;&gt;"",SUMPRODUCT((AS32:AS35=AS35)*(AQ32:AQ35&gt;AQ35)*1),0)</f>
        <v>0</v>
      </c>
      <c r="AU35" s="189">
        <f t="shared" si="12"/>
        <v>0</v>
      </c>
      <c r="AV35" s="189">
        <f t="shared" ref="AV35" si="317">IF(X35&lt;&gt;"",SUMPRODUCT((AU32:AU35=AU35)*(AS32:AS35=AS35)*(AO32:AO35&gt;AO35)*1),0)</f>
        <v>0</v>
      </c>
      <c r="AW35" s="189">
        <f t="shared" si="13"/>
        <v>1</v>
      </c>
      <c r="AX35" s="189">
        <f>SUMPRODUCT((Matches!F5:F52=Y35)*(Matches!K5:K52=Y34)*(Matches!H5:H52&gt;Matches!I5:I52)*1)+SUMPRODUCT((Matches!K5:K52=Y35)*(Matches!F5:F52=Y34)*(Matches!I5:I52&gt;Matches!H5:H52)*1)</f>
        <v>0</v>
      </c>
      <c r="AY35" s="189">
        <f>SUMPRODUCT((Matches!F5:F52=Y35)*(Matches!K5:K52=Y34)*(Matches!H5:H52=Matches!I5:I52)*1)+SUMPRODUCT((Matches!K5:K52=Y35)*(Matches!F5:F52=Y34)*(Matches!I5:I52=Matches!H5:H52)*1)</f>
        <v>0</v>
      </c>
      <c r="AZ35" s="189">
        <f>SUMPRODUCT((Matches!F5:F52=Y35)*(Matches!K5:K52=Y34)*(Matches!H5:H52&lt;Matches!I5:I52)*1)+SUMPRODUCT((Matches!K5:K52=Y35)*(Matches!F5:F52=Y34)*(Matches!I5:I52&lt;Matches!H5:H52)*1)</f>
        <v>0</v>
      </c>
      <c r="BA35" s="189">
        <f>SUMIFS(Matches!H5:H52,Matches!F5:F52,Y35,Matches!K5:K52,Y34)+SUMIFS(Matches!I5:I52,Matches!K5:K52,Y35,Matches!F5:F52,Y34)</f>
        <v>0</v>
      </c>
      <c r="BB35" s="189">
        <f>SUMIFS(Matches!H5:H52,Matches!F5:F52,Y35,Matches!K5:K52,Y34)+SUMIFS(Matches!I5:I52,Matches!K5:K52,Y35,Matches!F5:F52,Y34)</f>
        <v>0</v>
      </c>
      <c r="BC35" s="189">
        <f t="shared" si="302"/>
        <v>0</v>
      </c>
      <c r="BD35" s="189">
        <f t="shared" si="303"/>
        <v>0</v>
      </c>
      <c r="BE35" s="189">
        <f t="shared" ref="BE35" si="318">IF(Y35&lt;&gt;"",SUMPRODUCT((AH32:AH35=AH35)*(BD32:BD35&gt;BD35)*1),0)</f>
        <v>0</v>
      </c>
      <c r="BF35" s="189">
        <f t="shared" ref="BF35" si="319">IF(Y35&lt;&gt;"",SUMPRODUCT((BE32:BE35=BE35)*(BC32:BC35&gt;BC35)*1),0)</f>
        <v>0</v>
      </c>
      <c r="BG35" s="189">
        <f t="shared" si="306"/>
        <v>0</v>
      </c>
      <c r="BH35" s="189">
        <f t="shared" ref="BH35" si="320">IF(Y35&lt;&gt;"",SUMPRODUCT((BG32:BG35=BG35)*(BE32:BE35=BE35)*(BA32:BA35&gt;BA35)*1),0)</f>
        <v>0</v>
      </c>
      <c r="BI35" s="189">
        <f t="shared" si="17"/>
        <v>1</v>
      </c>
      <c r="BJ35" s="189">
        <f>SUMPRODUCT((BI32:BI35=BI35)*(A32:A35&gt;A35)*1)</f>
        <v>3</v>
      </c>
      <c r="BK35" s="189">
        <f t="shared" si="14"/>
        <v>4</v>
      </c>
      <c r="BM35" s="200" t="s">
        <v>137</v>
      </c>
      <c r="BN35" s="201"/>
      <c r="BO35" s="191" t="str">
        <f>Calculator!C34</f>
        <v>Portugal</v>
      </c>
      <c r="BP35" s="191" t="s">
        <v>689</v>
      </c>
      <c r="BQ35" s="191"/>
      <c r="BR35" s="189">
        <v>29</v>
      </c>
      <c r="BS35" s="202" t="s">
        <v>159</v>
      </c>
      <c r="BU35" s="22">
        <v>29</v>
      </c>
      <c r="BV35" s="193">
        <f t="shared" si="18"/>
        <v>44893.541666666664</v>
      </c>
      <c r="BW35" s="194">
        <v>44893.541666666664</v>
      </c>
      <c r="BX35" s="195">
        <f t="shared" si="19"/>
        <v>44893.541666666664</v>
      </c>
      <c r="BZ35" s="189" t="str">
        <f>INDEX(Language!$A$1:$K$117,MATCH(Setup!B36,Language!$B$1:$B$117,0),MATCH(Setup!$C$5,Language!$A$1:$J$1,0))</f>
        <v>Uruguay</v>
      </c>
    </row>
    <row r="36" spans="1:78" x14ac:dyDescent="0.35">
      <c r="BM36" s="200"/>
      <c r="BN36" s="201"/>
      <c r="BO36" s="191" t="str">
        <f>Calculator!C35</f>
        <v>Ghana</v>
      </c>
      <c r="BP36" s="191" t="s">
        <v>690</v>
      </c>
      <c r="BQ36" s="191"/>
      <c r="BR36" s="189">
        <v>30</v>
      </c>
      <c r="BS36" s="202" t="s">
        <v>160</v>
      </c>
      <c r="BU36" s="22">
        <v>30</v>
      </c>
      <c r="BV36" s="193">
        <f t="shared" si="18"/>
        <v>44893.666666666664</v>
      </c>
      <c r="BW36" s="194">
        <v>44893.666666666664</v>
      </c>
      <c r="BX36" s="195">
        <f t="shared" si="19"/>
        <v>44893.666666666664</v>
      </c>
      <c r="BZ36" s="189" t="str">
        <f>INDEX(Language!$A$1:$K$117,MATCH(Setup!B37,Language!$B$1:$B$117,0),MATCH(Setup!$C$5,Language!$A$1:$J$1,0))</f>
        <v>South Korea</v>
      </c>
    </row>
    <row r="37" spans="1:78" x14ac:dyDescent="0.35">
      <c r="BM37" s="200"/>
      <c r="BN37" s="201"/>
      <c r="BO37" s="191" t="str">
        <f>Calculator!C32</f>
        <v>Uruguay</v>
      </c>
      <c r="BP37" s="191" t="s">
        <v>691</v>
      </c>
      <c r="BQ37" s="191"/>
      <c r="BR37" s="189">
        <v>31</v>
      </c>
      <c r="BS37" s="202" t="s">
        <v>161</v>
      </c>
      <c r="BU37" s="22">
        <v>31</v>
      </c>
      <c r="BV37" s="193">
        <f t="shared" si="18"/>
        <v>44893.791666666664</v>
      </c>
      <c r="BW37" s="194">
        <v>44893.791666666664</v>
      </c>
      <c r="BX37" s="195">
        <f t="shared" si="19"/>
        <v>44893.791666666664</v>
      </c>
      <c r="BY37" s="189">
        <f>SUM(Matches!R35:R38)</f>
        <v>0</v>
      </c>
      <c r="BZ37" s="189" t="str">
        <f>INDEX(Language!$A$1:$K$117,MATCH(Setup!B38,Language!$B$1:$B$117,0),MATCH(Setup!$C$5,Language!$A$1:$J$1,0))</f>
        <v>Portugal</v>
      </c>
    </row>
    <row r="38" spans="1:78" x14ac:dyDescent="0.35">
      <c r="BM38" s="200"/>
      <c r="BN38" s="201"/>
      <c r="BO38" s="191" t="str">
        <f>Calculator!C33</f>
        <v>South Korea</v>
      </c>
      <c r="BP38" s="191" t="s">
        <v>692</v>
      </c>
      <c r="BQ38" s="191"/>
      <c r="BR38" s="189">
        <v>32</v>
      </c>
      <c r="BS38" s="202" t="s">
        <v>162</v>
      </c>
      <c r="BU38" s="22">
        <v>32</v>
      </c>
      <c r="BV38" s="193">
        <f t="shared" si="18"/>
        <v>44893.916666666664</v>
      </c>
      <c r="BW38" s="194">
        <v>44893.916666666664</v>
      </c>
      <c r="BX38" s="195">
        <f t="shared" si="19"/>
        <v>44893.916666666664</v>
      </c>
      <c r="BZ38" s="189" t="str">
        <f>INDEX(Language!$A$1:$K$117,MATCH(Setup!B39,Language!$B$1:$B$117,0),MATCH(Setup!$C$5,Language!$A$1:$J$1,0))</f>
        <v>Ghana</v>
      </c>
    </row>
    <row r="39" spans="1:78" x14ac:dyDescent="0.35">
      <c r="BS39" s="202" t="s">
        <v>163</v>
      </c>
      <c r="BU39" s="22">
        <v>33</v>
      </c>
      <c r="BV39" s="193">
        <f t="shared" si="18"/>
        <v>44894.75</v>
      </c>
      <c r="BW39" s="196">
        <v>44894.75</v>
      </c>
      <c r="BX39" s="195">
        <f t="shared" ref="BX39:BX70" si="321">BW39+TimeZoneData/24</f>
        <v>44894.75</v>
      </c>
    </row>
    <row r="40" spans="1:78" x14ac:dyDescent="0.35">
      <c r="BO40" s="189" t="str">
        <f>Matches!F54</f>
        <v>Group A Winner</v>
      </c>
      <c r="BQ40" s="189" t="str">
        <f>IF(ISERROR("Calculator!"&amp;VLOOKUP(BO40,Calculator!$BO$7:$BP$38,2,FALSE)),"Calculator!b39","Calculator!"&amp;VLOOKUP(BO40,Calculator!$BO$7:$BP$38,2,FALSE))</f>
        <v>Calculator!b39</v>
      </c>
      <c r="BS40" s="202" t="s">
        <v>164</v>
      </c>
      <c r="BU40" s="22">
        <v>34</v>
      </c>
      <c r="BV40" s="193">
        <f t="shared" si="18"/>
        <v>44894.75</v>
      </c>
      <c r="BW40" s="196">
        <v>44894.75</v>
      </c>
      <c r="BX40" s="195">
        <f t="shared" si="321"/>
        <v>44894.75</v>
      </c>
    </row>
    <row r="41" spans="1:78" x14ac:dyDescent="0.35">
      <c r="BO41" s="189" t="str">
        <f>Matches!F55</f>
        <v>Group C Winner</v>
      </c>
      <c r="BQ41" s="189" t="str">
        <f>IF(ISERROR("Calculator!"&amp;VLOOKUP(BO41,Calculator!$BO$7:$BP$38,2,FALSE)),"Calculator!b39","Calculator!"&amp;VLOOKUP(BO41,Calculator!$BO$7:$BP$38,2,FALSE))</f>
        <v>Calculator!b39</v>
      </c>
      <c r="BS41" s="202" t="s">
        <v>165</v>
      </c>
      <c r="BU41" s="22">
        <v>35</v>
      </c>
      <c r="BV41" s="193">
        <f t="shared" si="18"/>
        <v>44894.916666666664</v>
      </c>
      <c r="BW41" s="196">
        <v>44894.916666666664</v>
      </c>
      <c r="BX41" s="195">
        <f t="shared" si="321"/>
        <v>44894.916666666664</v>
      </c>
    </row>
    <row r="42" spans="1:78" x14ac:dyDescent="0.35">
      <c r="BO42" s="189" t="str">
        <f>Matches!F56</f>
        <v>Group D Winner</v>
      </c>
      <c r="BQ42" s="189" t="str">
        <f>IF(ISERROR("Calculator!"&amp;VLOOKUP(BO42,Calculator!$BO$7:$BP$38,2,FALSE)),"Calculator!b39","Calculator!"&amp;VLOOKUP(BO42,Calculator!$BO$7:$BP$38,2,FALSE))</f>
        <v>Calculator!b39</v>
      </c>
      <c r="BS42" s="202" t="s">
        <v>166</v>
      </c>
      <c r="BU42" s="22">
        <v>36</v>
      </c>
      <c r="BV42" s="193">
        <f t="shared" si="18"/>
        <v>44894.916666666664</v>
      </c>
      <c r="BW42" s="196">
        <v>44894.916666666664</v>
      </c>
      <c r="BX42" s="195">
        <f t="shared" si="321"/>
        <v>44894.916666666664</v>
      </c>
    </row>
    <row r="43" spans="1:78" x14ac:dyDescent="0.35">
      <c r="BO43" s="189" t="str">
        <f>Matches!F57</f>
        <v>Group B Winner</v>
      </c>
      <c r="BQ43" s="189" t="str">
        <f>IF(ISERROR("Calculator!"&amp;VLOOKUP(BO43,Calculator!$BO$7:$BP$38,2,FALSE)),"Calculator!b39","Calculator!"&amp;VLOOKUP(BO43,Calculator!$BO$7:$BP$38,2,FALSE))</f>
        <v>Calculator!b39</v>
      </c>
      <c r="BS43" s="202" t="s">
        <v>167</v>
      </c>
      <c r="BU43" s="22">
        <v>37</v>
      </c>
      <c r="BV43" s="193">
        <f t="shared" si="18"/>
        <v>44895.75</v>
      </c>
      <c r="BW43" s="196">
        <v>44895.75</v>
      </c>
      <c r="BX43" s="195">
        <f t="shared" si="321"/>
        <v>44895.75</v>
      </c>
      <c r="BY43" s="189">
        <f>SUM(Matches!R41:R44)</f>
        <v>0</v>
      </c>
    </row>
    <row r="44" spans="1:78" x14ac:dyDescent="0.35">
      <c r="BO44" s="189" t="str">
        <f>Matches!F58</f>
        <v>Group E Winner</v>
      </c>
      <c r="BQ44" s="189" t="str">
        <f>IF(ISERROR("Calculator!"&amp;VLOOKUP(BO44,Calculator!$BO$7:$BP$38,2,FALSE)),"Calculator!b39","Calculator!"&amp;VLOOKUP(BO44,Calculator!$BO$7:$BP$38,2,FALSE))</f>
        <v>Calculator!b39</v>
      </c>
      <c r="BS44" s="202" t="s">
        <v>168</v>
      </c>
      <c r="BU44" s="22">
        <v>38</v>
      </c>
      <c r="BV44" s="193">
        <f t="shared" si="18"/>
        <v>44895.75</v>
      </c>
      <c r="BW44" s="196">
        <v>44895.75</v>
      </c>
      <c r="BX44" s="195">
        <f t="shared" si="321"/>
        <v>44895.75</v>
      </c>
    </row>
    <row r="45" spans="1:78" x14ac:dyDescent="0.35">
      <c r="BO45" s="189" t="str">
        <f>Matches!F59</f>
        <v>Group G Winner</v>
      </c>
      <c r="BQ45" s="189" t="str">
        <f>IF(ISERROR("Calculator!"&amp;VLOOKUP(BO45,Calculator!$BO$7:$BP$38,2,FALSE)),"Calculator!b39","Calculator!"&amp;VLOOKUP(BO45,Calculator!$BO$7:$BP$38,2,FALSE))</f>
        <v>Calculator!b39</v>
      </c>
      <c r="BS45" s="202" t="s">
        <v>169</v>
      </c>
      <c r="BU45" s="22">
        <v>39</v>
      </c>
      <c r="BV45" s="193">
        <f t="shared" si="18"/>
        <v>44895.916666666664</v>
      </c>
      <c r="BW45" s="196">
        <v>44895.916666666664</v>
      </c>
      <c r="BX45" s="195">
        <f t="shared" si="321"/>
        <v>44895.916666666664</v>
      </c>
    </row>
    <row r="46" spans="1:78" x14ac:dyDescent="0.35">
      <c r="BO46" s="189" t="str">
        <f>Matches!F60</f>
        <v>Group F Winner</v>
      </c>
      <c r="BQ46" s="189" t="str">
        <f>IF(ISERROR("Calculator!"&amp;VLOOKUP(BO46,Calculator!$BO$7:$BP$38,2,FALSE)),"Calculator!b39","Calculator!"&amp;VLOOKUP(BO46,Calculator!$BO$7:$BP$38,2,FALSE))</f>
        <v>Calculator!b39</v>
      </c>
      <c r="BS46" s="202" t="s">
        <v>170</v>
      </c>
      <c r="BU46" s="22">
        <v>40</v>
      </c>
      <c r="BV46" s="193">
        <f t="shared" si="18"/>
        <v>44895.916666666664</v>
      </c>
      <c r="BW46" s="196">
        <v>44895.916666666664</v>
      </c>
      <c r="BX46" s="195">
        <f t="shared" si="321"/>
        <v>44895.916666666664</v>
      </c>
    </row>
    <row r="47" spans="1:78" x14ac:dyDescent="0.35">
      <c r="BO47" s="189" t="str">
        <f>Matches!F61</f>
        <v>Group H Winner</v>
      </c>
      <c r="BQ47" s="189" t="str">
        <f>IF(ISERROR("Calculator!"&amp;VLOOKUP(BO47,Calculator!$BO$7:$BP$38,2,FALSE)),"Calculator!b39","Calculator!"&amp;VLOOKUP(BO47,Calculator!$BO$7:$BP$38,2,FALSE))</f>
        <v>Calculator!b39</v>
      </c>
      <c r="BS47" s="202" t="s">
        <v>171</v>
      </c>
      <c r="BU47" s="22">
        <v>41</v>
      </c>
      <c r="BV47" s="193">
        <f t="shared" si="18"/>
        <v>44896.75</v>
      </c>
      <c r="BW47" s="196">
        <v>44896.75</v>
      </c>
      <c r="BX47" s="195">
        <f t="shared" si="321"/>
        <v>44896.75</v>
      </c>
    </row>
    <row r="48" spans="1:78" x14ac:dyDescent="0.35">
      <c r="BO48" s="189" t="str">
        <f>Matches!F62</f>
        <v>Match 53 Winner</v>
      </c>
      <c r="BQ48" s="189" t="str">
        <f>IF(ISERROR("Calculator!"&amp;VLOOKUP(BO48,Calculator!$BO$7:$BP$38,2,FALSE)),"Calculator!b39","Calculator!"&amp;VLOOKUP(BO48,Calculator!$BO$7:$BP$38,2,FALSE))</f>
        <v>Calculator!b39</v>
      </c>
      <c r="BS48" s="202" t="s">
        <v>172</v>
      </c>
      <c r="BU48" s="22">
        <v>42</v>
      </c>
      <c r="BV48" s="193">
        <f t="shared" si="18"/>
        <v>44896.75</v>
      </c>
      <c r="BW48" s="196">
        <v>44896.75</v>
      </c>
      <c r="BX48" s="195">
        <f t="shared" si="321"/>
        <v>44896.75</v>
      </c>
    </row>
    <row r="49" spans="67:77" x14ac:dyDescent="0.35">
      <c r="BO49" s="189" t="str">
        <f>Matches!F63</f>
        <v>Match 49 Winner</v>
      </c>
      <c r="BQ49" s="189" t="str">
        <f>IF(ISERROR("Calculator!"&amp;VLOOKUP(BO49,Calculator!$BO$7:$BP$38,2,FALSE)),"Calculator!b39","Calculator!"&amp;VLOOKUP(BO49,Calculator!$BO$7:$BP$38,2,FALSE))</f>
        <v>Calculator!b39</v>
      </c>
      <c r="BS49" s="202" t="s">
        <v>173</v>
      </c>
      <c r="BU49" s="22">
        <v>43</v>
      </c>
      <c r="BV49" s="193">
        <f t="shared" si="18"/>
        <v>44896.916666666664</v>
      </c>
      <c r="BW49" s="196">
        <v>44896.916666666664</v>
      </c>
      <c r="BX49" s="195">
        <f t="shared" si="321"/>
        <v>44896.916666666664</v>
      </c>
      <c r="BY49" s="189">
        <f>SUM(Matches!R47:R50)</f>
        <v>0</v>
      </c>
    </row>
    <row r="50" spans="67:77" x14ac:dyDescent="0.35">
      <c r="BO50" s="189" t="str">
        <f>Matches!F64</f>
        <v>Match 55 Winner</v>
      </c>
      <c r="BQ50" s="189" t="str">
        <f>IF(ISERROR("Calculator!"&amp;VLOOKUP(BO50,Calculator!$BO$7:$BP$38,2,FALSE)),"Calculator!b39","Calculator!"&amp;VLOOKUP(BO50,Calculator!$BO$7:$BP$38,2,FALSE))</f>
        <v>Calculator!b39</v>
      </c>
      <c r="BS50" s="202" t="s">
        <v>174</v>
      </c>
      <c r="BU50" s="22">
        <v>44</v>
      </c>
      <c r="BV50" s="193">
        <f t="shared" si="18"/>
        <v>44896.916666666664</v>
      </c>
      <c r="BW50" s="196">
        <v>44896.916666666664</v>
      </c>
      <c r="BX50" s="195">
        <f t="shared" si="321"/>
        <v>44896.916666666664</v>
      </c>
    </row>
    <row r="51" spans="67:77" x14ac:dyDescent="0.35">
      <c r="BO51" s="189" t="str">
        <f>Matches!F65</f>
        <v>Match 51 Winner</v>
      </c>
      <c r="BQ51" s="189" t="str">
        <f>IF(ISERROR("Calculator!"&amp;VLOOKUP(BO51,Calculator!$BO$7:$BP$38,2,FALSE)),"Calculator!b39","Calculator!"&amp;VLOOKUP(BO51,Calculator!$BO$7:$BP$38,2,FALSE))</f>
        <v>Calculator!b39</v>
      </c>
      <c r="BS51" s="202" t="s">
        <v>175</v>
      </c>
      <c r="BU51" s="22">
        <v>45</v>
      </c>
      <c r="BV51" s="193">
        <f t="shared" si="18"/>
        <v>44897.75</v>
      </c>
      <c r="BW51" s="196">
        <v>44897.75</v>
      </c>
      <c r="BX51" s="195">
        <f t="shared" si="321"/>
        <v>44897.75</v>
      </c>
    </row>
    <row r="52" spans="67:77" x14ac:dyDescent="0.35">
      <c r="BO52" s="189" t="str">
        <f>Matches!F66</f>
        <v>Match 57 Winner</v>
      </c>
      <c r="BQ52" s="189" t="str">
        <f>IF(ISERROR("Calculator!"&amp;VLOOKUP(BO52,Calculator!$BO$7:$BP$38,2,FALSE)),"Calculator!b39","Calculator!"&amp;VLOOKUP(BO52,Calculator!$BO$7:$BP$38,2,FALSE))</f>
        <v>Calculator!b39</v>
      </c>
      <c r="BS52" s="202" t="s">
        <v>176</v>
      </c>
      <c r="BU52" s="22">
        <v>46</v>
      </c>
      <c r="BV52" s="193">
        <f t="shared" si="18"/>
        <v>44897.75</v>
      </c>
      <c r="BW52" s="196">
        <v>44897.75</v>
      </c>
      <c r="BX52" s="195">
        <f t="shared" si="321"/>
        <v>44897.75</v>
      </c>
    </row>
    <row r="53" spans="67:77" x14ac:dyDescent="0.35">
      <c r="BO53" s="189" t="str">
        <f>Matches!F67</f>
        <v>Match 59 Winner</v>
      </c>
      <c r="BQ53" s="189" t="str">
        <f>IF(ISERROR("Calculator!"&amp;VLOOKUP(BO53,Calculator!$BO$7:$BP$38,2,FALSE)),"Calculator!b39","Calculator!"&amp;VLOOKUP(BO53,Calculator!$BO$7:$BP$38,2,FALSE))</f>
        <v>Calculator!b39</v>
      </c>
      <c r="BS53" s="202" t="s">
        <v>177</v>
      </c>
      <c r="BU53" s="22">
        <v>47</v>
      </c>
      <c r="BV53" s="193">
        <f t="shared" si="18"/>
        <v>44897.916666666664</v>
      </c>
      <c r="BW53" s="196">
        <v>44897.916666666664</v>
      </c>
      <c r="BX53" s="195">
        <f t="shared" si="321"/>
        <v>44897.916666666664</v>
      </c>
    </row>
    <row r="54" spans="67:77" x14ac:dyDescent="0.35">
      <c r="BO54" s="189" t="str">
        <f>Matches!F68</f>
        <v>Match 61 Loser</v>
      </c>
      <c r="BQ54" s="189" t="str">
        <f>IF(ISERROR("Calculator!"&amp;VLOOKUP(BO54,Calculator!$BO$7:$BP$38,2,FALSE)),"Calculator!b39","Calculator!"&amp;VLOOKUP(BO54,Calculator!$BO$7:$BP$38,2,FALSE))</f>
        <v>Calculator!b39</v>
      </c>
      <c r="BS54" s="202" t="s">
        <v>178</v>
      </c>
      <c r="BU54" s="22">
        <v>48</v>
      </c>
      <c r="BV54" s="193">
        <f t="shared" si="18"/>
        <v>44897.916666666664</v>
      </c>
      <c r="BW54" s="196">
        <v>44897.916666666664</v>
      </c>
      <c r="BX54" s="195">
        <f t="shared" si="321"/>
        <v>44897.916666666664</v>
      </c>
    </row>
    <row r="55" spans="67:77" x14ac:dyDescent="0.35">
      <c r="BO55" s="189" t="str">
        <f>Matches!F69</f>
        <v>Match 61 Winner</v>
      </c>
      <c r="BQ55" s="189" t="str">
        <f>IF(ISERROR("Calculator!"&amp;VLOOKUP(BO55,Calculator!$BO$7:$BP$38,2,FALSE)),"Calculator!b39","Calculator!"&amp;VLOOKUP(BO55,Calculator!$BO$7:$BP$38,2,FALSE))</f>
        <v>Calculator!b39</v>
      </c>
      <c r="BS55" s="202" t="s">
        <v>179</v>
      </c>
      <c r="BU55" s="22">
        <v>49</v>
      </c>
      <c r="BV55" s="193">
        <f t="shared" si="18"/>
        <v>44898.75</v>
      </c>
      <c r="BW55" s="196">
        <v>44898.75</v>
      </c>
      <c r="BX55" s="195">
        <f t="shared" si="321"/>
        <v>44898.75</v>
      </c>
    </row>
    <row r="56" spans="67:77" x14ac:dyDescent="0.35">
      <c r="BO56" s="189" t="str">
        <f>Matches!K54</f>
        <v>Group B Runner Up</v>
      </c>
      <c r="BQ56" s="189" t="str">
        <f>IF(ISERROR("Calculator!"&amp;VLOOKUP(BO56,Calculator!$BO$7:$BP$38,2,FALSE)),"Calculator!b39","Calculator!"&amp;VLOOKUP(BO56,Calculator!$BO$7:$BP$38,2,FALSE))</f>
        <v>Calculator!b39</v>
      </c>
      <c r="BS56" s="202"/>
      <c r="BU56" s="22">
        <v>50</v>
      </c>
      <c r="BV56" s="193">
        <f t="shared" si="18"/>
        <v>44898.916666666664</v>
      </c>
      <c r="BW56" s="196">
        <v>44898.916666666664</v>
      </c>
      <c r="BX56" s="195">
        <f t="shared" si="321"/>
        <v>44898.916666666664</v>
      </c>
    </row>
    <row r="57" spans="67:77" x14ac:dyDescent="0.35">
      <c r="BO57" s="189" t="str">
        <f>Matches!K55</f>
        <v>Group D Runner Up</v>
      </c>
      <c r="BQ57" s="189" t="str">
        <f>IF(ISERROR("Calculator!"&amp;VLOOKUP(BO57,Calculator!$BO$7:$BP$38,2,FALSE)),"Calculator!b39","Calculator!"&amp;VLOOKUP(BO57,Calculator!$BO$7:$BP$38,2,FALSE))</f>
        <v>Calculator!b39</v>
      </c>
      <c r="BU57" s="22">
        <v>51</v>
      </c>
      <c r="BV57" s="193">
        <f t="shared" si="18"/>
        <v>44899.75</v>
      </c>
      <c r="BW57" s="196">
        <v>44899.75</v>
      </c>
      <c r="BX57" s="195">
        <f t="shared" si="321"/>
        <v>44899.75</v>
      </c>
    </row>
    <row r="58" spans="67:77" x14ac:dyDescent="0.35">
      <c r="BO58" s="189" t="str">
        <f>Matches!K56</f>
        <v>Group C Runner Up</v>
      </c>
      <c r="BQ58" s="189" t="str">
        <f>IF(ISERROR("Calculator!"&amp;VLOOKUP(BO58,Calculator!$BO$7:$BP$38,2,FALSE)),"Calculator!b39","Calculator!"&amp;VLOOKUP(BO58,Calculator!$BO$7:$BP$38,2,FALSE))</f>
        <v>Calculator!b39</v>
      </c>
      <c r="BU58" s="22">
        <v>52</v>
      </c>
      <c r="BV58" s="193">
        <f t="shared" si="18"/>
        <v>44899.916666666664</v>
      </c>
      <c r="BW58" s="196">
        <v>44899.916666666664</v>
      </c>
      <c r="BX58" s="195">
        <f t="shared" si="321"/>
        <v>44899.916666666664</v>
      </c>
    </row>
    <row r="59" spans="67:77" x14ac:dyDescent="0.35">
      <c r="BO59" s="189" t="str">
        <f>Matches!K57</f>
        <v>Group A Runner Up</v>
      </c>
      <c r="BQ59" s="189" t="str">
        <f>IF(ISERROR("Calculator!"&amp;VLOOKUP(BO59,Calculator!$BO$7:$BP$38,2,FALSE)),"Calculator!b39","Calculator!"&amp;VLOOKUP(BO59,Calculator!$BO$7:$BP$38,2,FALSE))</f>
        <v>Calculator!b39</v>
      </c>
      <c r="BU59" s="22">
        <v>53</v>
      </c>
      <c r="BV59" s="193">
        <f t="shared" si="18"/>
        <v>44900.75</v>
      </c>
      <c r="BW59" s="196">
        <v>44900.75</v>
      </c>
      <c r="BX59" s="195">
        <f t="shared" si="321"/>
        <v>44900.75</v>
      </c>
    </row>
    <row r="60" spans="67:77" x14ac:dyDescent="0.35">
      <c r="BO60" s="189" t="str">
        <f>Matches!K58</f>
        <v>Group F Runner Up</v>
      </c>
      <c r="BQ60" s="189" t="str">
        <f>IF(ISERROR("Calculator!"&amp;VLOOKUP(BO60,Calculator!$BO$7:$BP$38,2,FALSE)),"Calculator!b39","Calculator!"&amp;VLOOKUP(BO60,Calculator!$BO$7:$BP$38,2,FALSE))</f>
        <v>Calculator!b39</v>
      </c>
      <c r="BU60" s="22">
        <v>54</v>
      </c>
      <c r="BV60" s="193">
        <f t="shared" si="18"/>
        <v>44900.916666666664</v>
      </c>
      <c r="BW60" s="196">
        <v>44900.916666666664</v>
      </c>
      <c r="BX60" s="195">
        <f t="shared" si="321"/>
        <v>44900.916666666664</v>
      </c>
    </row>
    <row r="61" spans="67:77" x14ac:dyDescent="0.35">
      <c r="BO61" s="189" t="str">
        <f>Matches!K59</f>
        <v>Group H Runner Up</v>
      </c>
      <c r="BQ61" s="189" t="str">
        <f>IF(ISERROR("Calculator!"&amp;VLOOKUP(BO61,Calculator!$BO$7:$BP$38,2,FALSE)),"Calculator!b39","Calculator!"&amp;VLOOKUP(BO61,Calculator!$BO$7:$BP$38,2,FALSE))</f>
        <v>Calculator!b39</v>
      </c>
      <c r="BU61" s="22">
        <v>55</v>
      </c>
      <c r="BV61" s="193">
        <f t="shared" si="18"/>
        <v>44901.75</v>
      </c>
      <c r="BW61" s="196">
        <v>44901.75</v>
      </c>
      <c r="BX61" s="195">
        <f t="shared" si="321"/>
        <v>44901.75</v>
      </c>
    </row>
    <row r="62" spans="67:77" x14ac:dyDescent="0.35">
      <c r="BO62" s="189" t="str">
        <f>Matches!K60</f>
        <v>Group E Runner Up</v>
      </c>
      <c r="BQ62" s="189" t="str">
        <f>IF(ISERROR("Calculator!"&amp;VLOOKUP(BO62,Calculator!$BO$7:$BP$38,2,FALSE)),"Calculator!b39","Calculator!"&amp;VLOOKUP(BO62,Calculator!$BO$7:$BP$38,2,FALSE))</f>
        <v>Calculator!b39</v>
      </c>
      <c r="BU62" s="22">
        <v>56</v>
      </c>
      <c r="BV62" s="193">
        <f t="shared" si="18"/>
        <v>44901.916666666664</v>
      </c>
      <c r="BW62" s="196">
        <v>44901.916666666664</v>
      </c>
      <c r="BX62" s="195">
        <f t="shared" si="321"/>
        <v>44901.916666666664</v>
      </c>
    </row>
    <row r="63" spans="67:77" x14ac:dyDescent="0.35">
      <c r="BO63" s="189" t="str">
        <f>Matches!K61</f>
        <v>Group G Runner Up</v>
      </c>
      <c r="BQ63" s="189" t="str">
        <f>IF(ISERROR("Calculator!"&amp;VLOOKUP(BO63,Calculator!$BO$7:$BP$38,2,FALSE)),"Calculator!b39","Calculator!"&amp;VLOOKUP(BO63,Calculator!$BO$7:$BP$38,2,FALSE))</f>
        <v>Calculator!b39</v>
      </c>
      <c r="BU63" s="22">
        <v>57</v>
      </c>
      <c r="BV63" s="193">
        <f t="shared" si="18"/>
        <v>44904.75</v>
      </c>
      <c r="BW63" s="196">
        <v>44904.75</v>
      </c>
      <c r="BX63" s="195">
        <f t="shared" si="321"/>
        <v>44904.75</v>
      </c>
    </row>
    <row r="64" spans="67:77" x14ac:dyDescent="0.35">
      <c r="BO64" s="189" t="str">
        <f>Matches!K62</f>
        <v>Match 54 Winner</v>
      </c>
      <c r="BQ64" s="189" t="str">
        <f>IF(ISERROR("Calculator!"&amp;VLOOKUP(BO64,Calculator!$BO$7:$BP$38,2,FALSE)),"Calculator!b39","Calculator!"&amp;VLOOKUP(BO64,Calculator!$BO$7:$BP$38,2,FALSE))</f>
        <v>Calculator!b39</v>
      </c>
      <c r="BU64" s="22">
        <v>58</v>
      </c>
      <c r="BV64" s="193">
        <f t="shared" si="18"/>
        <v>44904.916666666664</v>
      </c>
      <c r="BW64" s="196">
        <v>44904.916666666664</v>
      </c>
      <c r="BX64" s="195">
        <f t="shared" si="321"/>
        <v>44904.916666666664</v>
      </c>
    </row>
    <row r="65" spans="67:76" x14ac:dyDescent="0.35">
      <c r="BO65" s="189" t="str">
        <f>Matches!K63</f>
        <v>Match 50 Winner</v>
      </c>
      <c r="BQ65" s="189" t="str">
        <f>IF(ISERROR("Calculator!"&amp;VLOOKUP(BO65,Calculator!$BO$7:$BP$38,2,FALSE)),"Calculator!b39","Calculator!"&amp;VLOOKUP(BO65,Calculator!$BO$7:$BP$38,2,FALSE))</f>
        <v>Calculator!b39</v>
      </c>
      <c r="BU65" s="22">
        <v>59</v>
      </c>
      <c r="BV65" s="193">
        <f t="shared" si="18"/>
        <v>44905.75</v>
      </c>
      <c r="BW65" s="196">
        <v>44905.75</v>
      </c>
      <c r="BX65" s="195">
        <f t="shared" si="321"/>
        <v>44905.75</v>
      </c>
    </row>
    <row r="66" spans="67:76" x14ac:dyDescent="0.35">
      <c r="BO66" s="189" t="str">
        <f>Matches!K64</f>
        <v>Match 56 Winner</v>
      </c>
      <c r="BQ66" s="189" t="str">
        <f>IF(ISERROR("Calculator!"&amp;VLOOKUP(BO66,Calculator!$BO$7:$BP$38,2,FALSE)),"Calculator!b39","Calculator!"&amp;VLOOKUP(BO66,Calculator!$BO$7:$BP$38,2,FALSE))</f>
        <v>Calculator!b39</v>
      </c>
      <c r="BU66" s="22">
        <v>60</v>
      </c>
      <c r="BV66" s="193">
        <f t="shared" si="18"/>
        <v>44905.916666666664</v>
      </c>
      <c r="BW66" s="196">
        <v>44905.916666666664</v>
      </c>
      <c r="BX66" s="195">
        <f t="shared" si="321"/>
        <v>44905.916666666664</v>
      </c>
    </row>
    <row r="67" spans="67:76" x14ac:dyDescent="0.35">
      <c r="BO67" s="189" t="str">
        <f>Matches!K65</f>
        <v>Match 52 Winner</v>
      </c>
      <c r="BQ67" s="189" t="str">
        <f>IF(ISERROR("Calculator!"&amp;VLOOKUP(BO67,Calculator!$BO$7:$BP$38,2,FALSE)),"Calculator!b39","Calculator!"&amp;VLOOKUP(BO67,Calculator!$BO$7:$BP$38,2,FALSE))</f>
        <v>Calculator!b39</v>
      </c>
      <c r="BU67" s="22">
        <v>61</v>
      </c>
      <c r="BV67" s="193">
        <f t="shared" si="18"/>
        <v>44908.916666666664</v>
      </c>
      <c r="BW67" s="196">
        <v>44908.916666666664</v>
      </c>
      <c r="BX67" s="195">
        <f t="shared" si="321"/>
        <v>44908.916666666664</v>
      </c>
    </row>
    <row r="68" spans="67:76" x14ac:dyDescent="0.35">
      <c r="BO68" s="189" t="str">
        <f>Matches!K66</f>
        <v>Match 58 Winner</v>
      </c>
      <c r="BQ68" s="189" t="str">
        <f>IF(ISERROR("Calculator!"&amp;VLOOKUP(BO68,Calculator!$BO$7:$BP$38,2,FALSE)),"Calculator!b39","Calculator!"&amp;VLOOKUP(BO68,Calculator!$BO$7:$BP$38,2,FALSE))</f>
        <v>Calculator!b39</v>
      </c>
      <c r="BU68" s="22">
        <v>62</v>
      </c>
      <c r="BV68" s="193">
        <f t="shared" si="18"/>
        <v>44909.916666666664</v>
      </c>
      <c r="BW68" s="196">
        <v>44909.916666666664</v>
      </c>
      <c r="BX68" s="195">
        <f t="shared" si="321"/>
        <v>44909.916666666664</v>
      </c>
    </row>
    <row r="69" spans="67:76" x14ac:dyDescent="0.35">
      <c r="BO69" s="189" t="str">
        <f>Matches!K67</f>
        <v>Match 60 Winner</v>
      </c>
      <c r="BQ69" s="189" t="str">
        <f>IF(ISERROR("Calculator!"&amp;VLOOKUP(BO69,Calculator!$BO$7:$BP$38,2,FALSE)),"Calculator!b39","Calculator!"&amp;VLOOKUP(BO69,Calculator!$BO$7:$BP$38,2,FALSE))</f>
        <v>Calculator!b39</v>
      </c>
      <c r="BU69" s="22">
        <v>63</v>
      </c>
      <c r="BV69" s="193">
        <f t="shared" si="18"/>
        <v>44912.75</v>
      </c>
      <c r="BW69" s="196">
        <v>44912.75</v>
      </c>
      <c r="BX69" s="195">
        <f t="shared" si="321"/>
        <v>44912.75</v>
      </c>
    </row>
    <row r="70" spans="67:76" x14ac:dyDescent="0.35">
      <c r="BO70" s="189" t="str">
        <f>Matches!K68</f>
        <v>Match 62 Loser</v>
      </c>
      <c r="BQ70" s="189" t="str">
        <f>IF(ISERROR("Calculator!"&amp;VLOOKUP(BO70,Calculator!$BO$7:$BP$38,2,FALSE)),"Calculator!b39","Calculator!"&amp;VLOOKUP(BO70,Calculator!$BO$7:$BP$38,2,FALSE))</f>
        <v>Calculator!b39</v>
      </c>
      <c r="BU70" s="22">
        <v>64</v>
      </c>
      <c r="BV70" s="193">
        <f t="shared" si="18"/>
        <v>44913.75</v>
      </c>
      <c r="BW70" s="196">
        <v>44913.75</v>
      </c>
      <c r="BX70" s="195">
        <f t="shared" si="321"/>
        <v>44913.75</v>
      </c>
    </row>
    <row r="71" spans="67:76" x14ac:dyDescent="0.35">
      <c r="BO71" s="189" t="str">
        <f>Matches!K69</f>
        <v>Match 62 Winner</v>
      </c>
      <c r="BQ71" s="189" t="str">
        <f>IF(ISERROR("Calculator!"&amp;VLOOKUP(BO71,Calculator!$BO$7:$BP$38,2,FALSE)),"Calculator!b39","Calculator!"&amp;VLOOKUP(BO71,Calculator!$BO$7:$BP$38,2,FALSE))</f>
        <v>Calculator!b39</v>
      </c>
      <c r="BW71" s="190"/>
    </row>
    <row r="72" spans="67:76" x14ac:dyDescent="0.35">
      <c r="BO72" s="189" t="str">
        <f>Matches!P57</f>
        <v>WORLD CUP 2022 CHAMPION</v>
      </c>
      <c r="BQ72" s="189" t="str">
        <f>IF(ISERROR("Calculator!"&amp;VLOOKUP(BO72,Calculator!$BO$7:$BP$38,2,FALSE)),"Calculator!b39","Calculator!"&amp;VLOOKUP(BO72,Calculator!$BO$7:$BP$38,2,FALSE))</f>
        <v>Calculator!b39</v>
      </c>
      <c r="BW72" s="190"/>
    </row>
    <row r="73" spans="67:76" x14ac:dyDescent="0.35">
      <c r="BO73" s="189" t="str">
        <f>Matches!P64</f>
        <v>WORLD CUP 2022 RUNNER UP</v>
      </c>
      <c r="BQ73" s="189" t="str">
        <f>IF(ISERROR("Calculator!"&amp;VLOOKUP(BO73,Calculator!$BO$7:$BP$38,2,FALSE)),"Calculator!b39","Calculator!"&amp;VLOOKUP(BO73,Calculator!$BO$7:$BP$38,2,FALSE))</f>
        <v>Calculator!b39</v>
      </c>
      <c r="BW73" s="190"/>
    </row>
    <row r="74" spans="67:76" x14ac:dyDescent="0.35">
      <c r="BO74" s="189" t="str">
        <f>Matches!P68</f>
        <v>WORLD CUP 2022 3RD PLACE</v>
      </c>
      <c r="BQ74" s="189" t="str">
        <f>IF(ISERROR("Calculator!"&amp;VLOOKUP(BO74,Calculator!$BO$7:$BP$38,2,FALSE)),"Calculator!b39","Calculator!"&amp;VLOOKUP(BO74,Calculator!$BO$7:$BP$38,2,FALSE))</f>
        <v>Calculator!b39</v>
      </c>
      <c r="BW74" s="190"/>
    </row>
    <row r="75" spans="67:76" x14ac:dyDescent="0.35">
      <c r="BW75" s="190"/>
    </row>
    <row r="76" spans="67:76" x14ac:dyDescent="0.35">
      <c r="BW76" s="190"/>
    </row>
    <row r="77" spans="67:76" x14ac:dyDescent="0.35">
      <c r="BW77" s="190"/>
    </row>
    <row r="78" spans="67:76" x14ac:dyDescent="0.35">
      <c r="BW78" s="190"/>
    </row>
    <row r="79" spans="67:76" x14ac:dyDescent="0.35">
      <c r="BW79" s="190"/>
    </row>
    <row r="80" spans="67:76" x14ac:dyDescent="0.35">
      <c r="BW80" s="190"/>
    </row>
    <row r="81" spans="75:75" x14ac:dyDescent="0.35">
      <c r="BW81" s="190"/>
    </row>
    <row r="82" spans="75:75" x14ac:dyDescent="0.35">
      <c r="BW82" s="190"/>
    </row>
    <row r="83" spans="75:75" x14ac:dyDescent="0.35">
      <c r="BW83" s="190"/>
    </row>
    <row r="84" spans="75:75" x14ac:dyDescent="0.35">
      <c r="BW84" s="196"/>
    </row>
    <row r="85" spans="75:75" x14ac:dyDescent="0.35">
      <c r="BW85" s="190"/>
    </row>
    <row r="86" spans="75:75" x14ac:dyDescent="0.35">
      <c r="BW86" s="190"/>
    </row>
    <row r="87" spans="75:75" x14ac:dyDescent="0.35">
      <c r="BW87" s="190"/>
    </row>
    <row r="88" spans="75:75" x14ac:dyDescent="0.35">
      <c r="BW88" s="190"/>
    </row>
    <row r="89" spans="75:75" x14ac:dyDescent="0.35">
      <c r="BW89" s="190"/>
    </row>
    <row r="90" spans="75:75" x14ac:dyDescent="0.35">
      <c r="BW90" s="196"/>
    </row>
    <row r="91" spans="75:75" x14ac:dyDescent="0.35">
      <c r="BW91" s="190"/>
    </row>
    <row r="92" spans="75:75" x14ac:dyDescent="0.35">
      <c r="BW92" s="190"/>
    </row>
    <row r="93" spans="75:75" x14ac:dyDescent="0.35">
      <c r="BW93" s="190"/>
    </row>
    <row r="94" spans="75:75" x14ac:dyDescent="0.35">
      <c r="BW94" s="190"/>
    </row>
    <row r="95" spans="75:75" x14ac:dyDescent="0.35">
      <c r="BW95" s="190"/>
    </row>
    <row r="96" spans="75:75" x14ac:dyDescent="0.35">
      <c r="BW96" s="196"/>
    </row>
    <row r="97" spans="75:75" x14ac:dyDescent="0.35">
      <c r="BW97" s="190"/>
    </row>
    <row r="98" spans="75:75" x14ac:dyDescent="0.35">
      <c r="BW98" s="190"/>
    </row>
    <row r="99" spans="75:75" x14ac:dyDescent="0.35">
      <c r="BW99" s="190"/>
    </row>
    <row r="100" spans="75:75" x14ac:dyDescent="0.35">
      <c r="BW100" s="190"/>
    </row>
    <row r="101" spans="75:75" x14ac:dyDescent="0.35">
      <c r="BW101" s="190"/>
    </row>
    <row r="102" spans="75:75" x14ac:dyDescent="0.35">
      <c r="BW102" s="196"/>
    </row>
    <row r="103" spans="75:75" x14ac:dyDescent="0.35">
      <c r="BW103" s="196"/>
    </row>
    <row r="104" spans="75:75" x14ac:dyDescent="0.35">
      <c r="BW104" s="196"/>
    </row>
    <row r="105" spans="75:75" x14ac:dyDescent="0.35">
      <c r="BW105" s="196"/>
    </row>
    <row r="106" spans="75:75" x14ac:dyDescent="0.35">
      <c r="BW106" s="196"/>
    </row>
    <row r="107" spans="75:75" x14ac:dyDescent="0.35">
      <c r="BW107" s="196"/>
    </row>
    <row r="108" spans="75:75" x14ac:dyDescent="0.35">
      <c r="BW108" s="196"/>
    </row>
    <row r="109" spans="75:75" x14ac:dyDescent="0.35">
      <c r="BW109" s="196"/>
    </row>
    <row r="110" spans="75:75" x14ac:dyDescent="0.35">
      <c r="BW110" s="196"/>
    </row>
    <row r="111" spans="75:75" x14ac:dyDescent="0.35">
      <c r="BW111" s="196"/>
    </row>
    <row r="112" spans="75:75" x14ac:dyDescent="0.35">
      <c r="BW112" s="196"/>
    </row>
    <row r="113" spans="75:75" x14ac:dyDescent="0.35">
      <c r="BW113" s="196"/>
    </row>
    <row r="114" spans="75:75" x14ac:dyDescent="0.35">
      <c r="BW114" s="196"/>
    </row>
    <row r="115" spans="75:75" x14ac:dyDescent="0.35">
      <c r="BW115" s="196"/>
    </row>
    <row r="116" spans="75:75" x14ac:dyDescent="0.35">
      <c r="BW116" s="196"/>
    </row>
    <row r="117" spans="75:75" x14ac:dyDescent="0.35">
      <c r="BW117" s="196"/>
    </row>
    <row r="118" spans="75:75" x14ac:dyDescent="0.35">
      <c r="BW118" s="196"/>
    </row>
    <row r="119" spans="75:75" x14ac:dyDescent="0.35">
      <c r="BW119" s="196"/>
    </row>
    <row r="120" spans="75:75" x14ac:dyDescent="0.35">
      <c r="BW120" s="196"/>
    </row>
    <row r="121" spans="75:75" x14ac:dyDescent="0.35">
      <c r="BW121" s="196"/>
    </row>
    <row r="122" spans="75:75" x14ac:dyDescent="0.35">
      <c r="BW122" s="196"/>
    </row>
    <row r="123" spans="75:75" x14ac:dyDescent="0.35">
      <c r="BW123" s="196"/>
    </row>
    <row r="124" spans="75:75" x14ac:dyDescent="0.35">
      <c r="BW124" s="196"/>
    </row>
    <row r="125" spans="75:75" x14ac:dyDescent="0.35">
      <c r="BW125" s="196"/>
    </row>
    <row r="126" spans="75:75" x14ac:dyDescent="0.35">
      <c r="BW126" s="196"/>
    </row>
    <row r="127" spans="75:75" x14ac:dyDescent="0.35">
      <c r="BW127" s="196"/>
    </row>
    <row r="128" spans="75:75" x14ac:dyDescent="0.35">
      <c r="BW128" s="190"/>
    </row>
    <row r="129" spans="75:75" x14ac:dyDescent="0.35">
      <c r="BW129" s="190"/>
    </row>
    <row r="130" spans="75:75" x14ac:dyDescent="0.35">
      <c r="BW130" s="190"/>
    </row>
    <row r="131" spans="75:75" x14ac:dyDescent="0.35">
      <c r="BW131" s="190"/>
    </row>
    <row r="132" spans="75:75" x14ac:dyDescent="0.35">
      <c r="BW132" s="190"/>
    </row>
    <row r="133" spans="75:75" x14ac:dyDescent="0.35">
      <c r="BW133" s="190"/>
    </row>
    <row r="134" spans="75:75" x14ac:dyDescent="0.35">
      <c r="BW134" s="190"/>
    </row>
    <row r="135" spans="75:75" x14ac:dyDescent="0.35">
      <c r="BW135" s="190"/>
    </row>
    <row r="136" spans="75:75" x14ac:dyDescent="0.35">
      <c r="BW136" s="190"/>
    </row>
    <row r="137" spans="75:75" x14ac:dyDescent="0.35">
      <c r="BW137" s="190"/>
    </row>
    <row r="138" spans="75:75" x14ac:dyDescent="0.35">
      <c r="BW138" s="190"/>
    </row>
    <row r="139" spans="75:75" x14ac:dyDescent="0.35">
      <c r="BW139" s="190"/>
    </row>
    <row r="140" spans="75:75" x14ac:dyDescent="0.35">
      <c r="BW140" s="190"/>
    </row>
    <row r="141" spans="75:75" x14ac:dyDescent="0.35">
      <c r="BW141" s="190"/>
    </row>
    <row r="142" spans="75:75" x14ac:dyDescent="0.35">
      <c r="BW142" s="190"/>
    </row>
    <row r="143" spans="75:75" x14ac:dyDescent="0.35">
      <c r="BW143" s="190"/>
    </row>
    <row r="144" spans="75:75" x14ac:dyDescent="0.35">
      <c r="BW144" s="190"/>
    </row>
    <row r="145" spans="65:77" x14ac:dyDescent="0.35">
      <c r="BM145" s="189" t="str">
        <f>INDEX(Language!$A$1:$K$117,MATCH("Language",Language!$B$1:$B$117,0),MATCH(Setup!$C$5,Language!$A$1:$J$1,0))</f>
        <v>Language</v>
      </c>
      <c r="BN145" s="189"/>
      <c r="BO145" s="202"/>
      <c r="BP145" s="203"/>
      <c r="BQ145" s="204" t="s">
        <v>180</v>
      </c>
      <c r="BW145" s="190"/>
    </row>
    <row r="146" spans="65:77" x14ac:dyDescent="0.35">
      <c r="BN146" s="189"/>
      <c r="BO146" s="202"/>
      <c r="BP146" s="203"/>
      <c r="BQ146" s="204"/>
      <c r="BW146" s="190"/>
      <c r="BY146" s="197"/>
    </row>
    <row r="147" spans="65:77" x14ac:dyDescent="0.35">
      <c r="BM147" s="189" t="str">
        <f>INDEX(Language!$A$1:$K$117,MATCH("Timezone",Language!$B$1:$B$117,0),MATCH(Setup!$C$5,Language!$A$1:$J$1,0))</f>
        <v>Timezone</v>
      </c>
      <c r="BN147" s="189"/>
      <c r="BO147" s="202"/>
      <c r="BP147" s="203"/>
      <c r="BQ147" s="204" t="s">
        <v>180</v>
      </c>
      <c r="BW147" s="190"/>
      <c r="BY147" s="197"/>
    </row>
    <row r="148" spans="65:77" x14ac:dyDescent="0.35">
      <c r="BW148" s="190"/>
      <c r="BY148" s="197"/>
    </row>
    <row r="149" spans="65:77" x14ac:dyDescent="0.35">
      <c r="BW149" s="190"/>
    </row>
    <row r="150" spans="65:77" ht="29" x14ac:dyDescent="0.35">
      <c r="BT150" s="205" t="s">
        <v>181</v>
      </c>
      <c r="BU150" s="205"/>
      <c r="BV150" s="205"/>
      <c r="BW150" s="205"/>
      <c r="BX150" s="198"/>
    </row>
    <row r="151" spans="65:77" x14ac:dyDescent="0.35">
      <c r="BT151" s="206"/>
      <c r="BU151" s="206"/>
      <c r="BV151" s="206"/>
      <c r="BW151" s="206"/>
      <c r="BX151" s="198"/>
    </row>
    <row r="152" spans="65:77" x14ac:dyDescent="0.35">
      <c r="BT152" s="206"/>
      <c r="BU152" s="206"/>
      <c r="BV152" s="206"/>
      <c r="BW152" s="206"/>
      <c r="BX152" s="198"/>
    </row>
  </sheetData>
  <sheetProtection password="CBF1" sheet="1" objects="1" scenarios="1" selectLockedCells="1" selectUnlockedCells="1"/>
  <conditionalFormatting sqref="B52">
    <cfRule type="expression" dxfId="1" priority="2">
      <formula>$B$52&lt;&gt;""</formula>
    </cfRule>
  </conditionalFormatting>
  <conditionalFormatting sqref="P31">
    <cfRule type="expression" dxfId="0" priority="1">
      <formula>$B$52&lt;&gt;""</formula>
    </cfRule>
  </conditionalFormatting>
  <dataValidations disablePrompts="1" count="1">
    <dataValidation type="list" allowBlank="1" showInputMessage="1" showErrorMessage="1" sqref="BT150">
      <formula1>Location</formula1>
    </dataValidation>
  </dataValidations>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1"/>
  <sheetViews>
    <sheetView showGridLines="0" workbookViewId="0">
      <selection activeCell="E8" sqref="E8"/>
    </sheetView>
  </sheetViews>
  <sheetFormatPr defaultColWidth="9.08984375" defaultRowHeight="14.5" x14ac:dyDescent="0.35"/>
  <cols>
    <col min="1" max="1" width="4" style="43" bestFit="1" customWidth="1"/>
    <col min="2" max="4" width="15.6328125" style="43" customWidth="1"/>
    <col min="5" max="5" width="20.26953125" style="43" bestFit="1" customWidth="1"/>
    <col min="6" max="9" width="15.6328125" style="43" customWidth="1"/>
    <col min="10" max="16384" width="9.08984375" style="43"/>
  </cols>
  <sheetData>
    <row r="1" spans="1:20" x14ac:dyDescent="0.35">
      <c r="A1" s="207">
        <v>1</v>
      </c>
      <c r="B1" s="207" t="s">
        <v>636</v>
      </c>
      <c r="C1" s="207" t="s">
        <v>1</v>
      </c>
      <c r="D1" s="207" t="s">
        <v>182</v>
      </c>
      <c r="E1" s="207" t="s">
        <v>183</v>
      </c>
      <c r="F1" s="207" t="s">
        <v>184</v>
      </c>
      <c r="G1" s="207" t="s">
        <v>185</v>
      </c>
      <c r="H1" s="207" t="s">
        <v>186</v>
      </c>
      <c r="I1" s="207" t="str">
        <f>Setup!C6</f>
        <v>MY LANGUAGE</v>
      </c>
    </row>
    <row r="2" spans="1:20" x14ac:dyDescent="0.35">
      <c r="A2" s="207">
        <v>1</v>
      </c>
      <c r="B2" s="207">
        <v>2</v>
      </c>
      <c r="C2" s="207">
        <v>3</v>
      </c>
      <c r="D2" s="207">
        <v>4</v>
      </c>
      <c r="E2" s="207">
        <v>5</v>
      </c>
      <c r="F2" s="207">
        <v>6</v>
      </c>
      <c r="G2" s="207">
        <v>7</v>
      </c>
      <c r="H2" s="207">
        <v>8</v>
      </c>
      <c r="I2" s="207">
        <v>9</v>
      </c>
    </row>
    <row r="3" spans="1:20" x14ac:dyDescent="0.35">
      <c r="A3" s="207">
        <v>2</v>
      </c>
      <c r="B3" s="207" t="str">
        <f>Setup!B8</f>
        <v>Senegal</v>
      </c>
      <c r="C3" s="207" t="s">
        <v>7</v>
      </c>
      <c r="D3" s="207" t="s">
        <v>187</v>
      </c>
      <c r="E3" s="207" t="s">
        <v>7</v>
      </c>
      <c r="F3" s="207" t="s">
        <v>7</v>
      </c>
      <c r="G3" s="207" t="s">
        <v>7</v>
      </c>
      <c r="H3" s="207" t="s">
        <v>7</v>
      </c>
      <c r="I3" s="207" t="str">
        <f>IF(Setup!C8&lt;&gt;"",Setup!C8,Setup!B8)</f>
        <v>Senegal</v>
      </c>
    </row>
    <row r="4" spans="1:20" x14ac:dyDescent="0.35">
      <c r="A4" s="207">
        <v>3</v>
      </c>
      <c r="B4" s="207" t="str">
        <f>Setup!B9</f>
        <v>Netherlands</v>
      </c>
      <c r="C4" s="224" t="s">
        <v>9</v>
      </c>
      <c r="D4" s="208" t="s">
        <v>188</v>
      </c>
      <c r="E4" s="208" t="s">
        <v>189</v>
      </c>
      <c r="F4" s="208" t="s">
        <v>190</v>
      </c>
      <c r="G4" s="208" t="s">
        <v>191</v>
      </c>
      <c r="H4" s="208" t="s">
        <v>192</v>
      </c>
      <c r="I4" s="207" t="str">
        <f>IF(Setup!C9&lt;&gt;"",Setup!C9,Setup!B9)</f>
        <v>Netherlands</v>
      </c>
    </row>
    <row r="5" spans="1:20" x14ac:dyDescent="0.35">
      <c r="A5" s="207">
        <v>4</v>
      </c>
      <c r="B5" s="207" t="str">
        <f>Setup!B10</f>
        <v>Qatar</v>
      </c>
      <c r="C5" s="207" t="s">
        <v>10</v>
      </c>
      <c r="D5" s="207" t="s">
        <v>10</v>
      </c>
      <c r="E5" s="207" t="s">
        <v>193</v>
      </c>
      <c r="F5" s="207" t="s">
        <v>10</v>
      </c>
      <c r="G5" s="207" t="s">
        <v>194</v>
      </c>
      <c r="H5" s="207" t="s">
        <v>193</v>
      </c>
      <c r="I5" s="207" t="str">
        <f>IF(Setup!C10&lt;&gt;"",Setup!C10,Setup!B10)</f>
        <v>Qatar</v>
      </c>
    </row>
    <row r="6" spans="1:20" x14ac:dyDescent="0.35">
      <c r="A6" s="207">
        <v>5</v>
      </c>
      <c r="B6" s="207" t="str">
        <f>Setup!B11</f>
        <v>Ecuador</v>
      </c>
      <c r="C6" s="207" t="s">
        <v>11</v>
      </c>
      <c r="D6" s="207" t="s">
        <v>195</v>
      </c>
      <c r="E6" s="207" t="s">
        <v>11</v>
      </c>
      <c r="F6" s="207" t="s">
        <v>11</v>
      </c>
      <c r="G6" s="207" t="s">
        <v>196</v>
      </c>
      <c r="H6" s="207" t="s">
        <v>11</v>
      </c>
      <c r="I6" s="207" t="str">
        <f>IF(Setup!C11&lt;&gt;"",Setup!C11,Setup!B11)</f>
        <v>Ecuador</v>
      </c>
    </row>
    <row r="7" spans="1:20" x14ac:dyDescent="0.35">
      <c r="A7" s="207">
        <v>6</v>
      </c>
      <c r="B7" s="207" t="str">
        <f>Setup!B12</f>
        <v>England</v>
      </c>
      <c r="C7" s="207" t="s">
        <v>12</v>
      </c>
      <c r="D7" s="207" t="s">
        <v>197</v>
      </c>
      <c r="E7" s="207" t="s">
        <v>12</v>
      </c>
      <c r="F7" s="207" t="s">
        <v>198</v>
      </c>
      <c r="G7" s="207" t="s">
        <v>199</v>
      </c>
      <c r="H7" s="207" t="s">
        <v>199</v>
      </c>
      <c r="I7" s="207" t="str">
        <f>IF(Setup!C12&lt;&gt;"",Setup!C12,Setup!B12)</f>
        <v>England</v>
      </c>
      <c r="T7" s="209"/>
    </row>
    <row r="8" spans="1:20" x14ac:dyDescent="0.35">
      <c r="A8" s="207">
        <v>7</v>
      </c>
      <c r="B8" s="207" t="str">
        <f>Setup!B13</f>
        <v>Iran</v>
      </c>
      <c r="C8" s="207" t="s">
        <v>13</v>
      </c>
      <c r="D8" s="207" t="s">
        <v>13</v>
      </c>
      <c r="E8" s="207" t="s">
        <v>200</v>
      </c>
      <c r="F8" s="207" t="s">
        <v>201</v>
      </c>
      <c r="G8" s="207" t="s">
        <v>202</v>
      </c>
      <c r="H8" s="207" t="s">
        <v>203</v>
      </c>
      <c r="I8" s="207" t="str">
        <f>IF(Setup!C13&lt;&gt;"",Setup!C13,Setup!B13)</f>
        <v>Iran</v>
      </c>
    </row>
    <row r="9" spans="1:20" x14ac:dyDescent="0.35">
      <c r="A9" s="207">
        <v>8</v>
      </c>
      <c r="B9" s="207" t="str">
        <f>Setup!B14</f>
        <v>United States</v>
      </c>
      <c r="C9" s="207" t="s">
        <v>14</v>
      </c>
      <c r="D9" s="207" t="s">
        <v>204</v>
      </c>
      <c r="E9" s="207" t="s">
        <v>205</v>
      </c>
      <c r="F9" s="207" t="s">
        <v>206</v>
      </c>
      <c r="G9" s="207" t="s">
        <v>207</v>
      </c>
      <c r="H9" s="207" t="s">
        <v>207</v>
      </c>
      <c r="I9" s="207" t="str">
        <f>IF(Setup!C14&lt;&gt;"",Setup!C14,Setup!B14)</f>
        <v>United States</v>
      </c>
      <c r="T9" s="209"/>
    </row>
    <row r="10" spans="1:20" x14ac:dyDescent="0.35">
      <c r="A10" s="207">
        <v>9</v>
      </c>
      <c r="B10" s="207" t="str">
        <f>Setup!B15</f>
        <v>Wales</v>
      </c>
      <c r="C10" s="207" t="s">
        <v>15</v>
      </c>
      <c r="D10" s="207" t="s">
        <v>208</v>
      </c>
      <c r="E10" s="207" t="s">
        <v>15</v>
      </c>
      <c r="F10" s="207" t="s">
        <v>209</v>
      </c>
      <c r="G10" s="207" t="s">
        <v>210</v>
      </c>
      <c r="H10" s="207" t="s">
        <v>211</v>
      </c>
      <c r="I10" s="207" t="str">
        <f>IF(Setup!C15&lt;&gt;"",Setup!C15,Setup!B15)</f>
        <v>Wales</v>
      </c>
    </row>
    <row r="11" spans="1:20" x14ac:dyDescent="0.35">
      <c r="A11" s="207">
        <v>10</v>
      </c>
      <c r="B11" s="207" t="str">
        <f>Setup!B16</f>
        <v>Argentina</v>
      </c>
      <c r="C11" s="207" t="s">
        <v>16</v>
      </c>
      <c r="D11" s="207" t="s">
        <v>212</v>
      </c>
      <c r="E11" s="207" t="s">
        <v>213</v>
      </c>
      <c r="F11" s="207" t="s">
        <v>16</v>
      </c>
      <c r="G11" s="207" t="s">
        <v>16</v>
      </c>
      <c r="H11" s="207" t="s">
        <v>16</v>
      </c>
      <c r="I11" s="207" t="str">
        <f>IF(Setup!C16&lt;&gt;"",Setup!C16,Setup!B16)</f>
        <v>Argentina</v>
      </c>
      <c r="T11" s="209"/>
    </row>
    <row r="12" spans="1:20" x14ac:dyDescent="0.35">
      <c r="A12" s="207">
        <v>11</v>
      </c>
      <c r="B12" s="207" t="str">
        <f>Setup!B17</f>
        <v>Saudi Arabia</v>
      </c>
      <c r="C12" s="207" t="s">
        <v>17</v>
      </c>
      <c r="D12" s="207" t="s">
        <v>214</v>
      </c>
      <c r="E12" s="207" t="s">
        <v>215</v>
      </c>
      <c r="F12" s="207" t="s">
        <v>216</v>
      </c>
      <c r="G12" s="207" t="s">
        <v>217</v>
      </c>
      <c r="H12" s="207" t="s">
        <v>216</v>
      </c>
      <c r="I12" s="207" t="str">
        <f>IF(Setup!C17&lt;&gt;"",Setup!C17,Setup!B17)</f>
        <v>Saudi Arabia</v>
      </c>
      <c r="T12" s="209"/>
    </row>
    <row r="13" spans="1:20" x14ac:dyDescent="0.35">
      <c r="A13" s="207">
        <v>12</v>
      </c>
      <c r="B13" s="207" t="str">
        <f>Setup!B18</f>
        <v>Mexico</v>
      </c>
      <c r="C13" s="207" t="s">
        <v>18</v>
      </c>
      <c r="D13" s="207" t="s">
        <v>218</v>
      </c>
      <c r="E13" s="207" t="s">
        <v>219</v>
      </c>
      <c r="F13" s="207" t="s">
        <v>220</v>
      </c>
      <c r="G13" s="207" t="s">
        <v>221</v>
      </c>
      <c r="H13" s="207" t="s">
        <v>222</v>
      </c>
      <c r="I13" s="207" t="str">
        <f>IF(Setup!C18&lt;&gt;"",Setup!C18,Setup!B18)</f>
        <v>Mexico</v>
      </c>
    </row>
    <row r="14" spans="1:20" x14ac:dyDescent="0.35">
      <c r="A14" s="207">
        <v>13</v>
      </c>
      <c r="B14" s="207" t="str">
        <f>Setup!B19</f>
        <v>Poland</v>
      </c>
      <c r="C14" s="207" t="s">
        <v>19</v>
      </c>
      <c r="D14" s="207" t="s">
        <v>223</v>
      </c>
      <c r="E14" s="207" t="s">
        <v>224</v>
      </c>
      <c r="F14" s="207" t="s">
        <v>225</v>
      </c>
      <c r="G14" s="207" t="s">
        <v>226</v>
      </c>
      <c r="H14" s="207" t="s">
        <v>225</v>
      </c>
      <c r="I14" s="207" t="str">
        <f>IF(Setup!C19&lt;&gt;"",Setup!C19,Setup!B19)</f>
        <v>Poland</v>
      </c>
      <c r="T14" s="209"/>
    </row>
    <row r="15" spans="1:20" x14ac:dyDescent="0.35">
      <c r="A15" s="207">
        <v>14</v>
      </c>
      <c r="B15" s="207" t="str">
        <f>Setup!B20</f>
        <v>Denmark</v>
      </c>
      <c r="C15" s="207" t="s">
        <v>20</v>
      </c>
      <c r="D15" s="207" t="s">
        <v>227</v>
      </c>
      <c r="E15" s="207" t="s">
        <v>228</v>
      </c>
      <c r="F15" s="207" t="s">
        <v>229</v>
      </c>
      <c r="G15" s="207" t="s">
        <v>230</v>
      </c>
      <c r="H15" s="207" t="s">
        <v>230</v>
      </c>
      <c r="I15" s="207" t="str">
        <f>IF(Setup!C20&lt;&gt;"",Setup!C20,Setup!B20)</f>
        <v>Denmark</v>
      </c>
      <c r="T15" s="209"/>
    </row>
    <row r="16" spans="1:20" x14ac:dyDescent="0.35">
      <c r="A16" s="207">
        <v>15</v>
      </c>
      <c r="B16" s="207" t="str">
        <f>Setup!B21</f>
        <v>Tunisia</v>
      </c>
      <c r="C16" s="207" t="s">
        <v>21</v>
      </c>
      <c r="D16" s="207" t="s">
        <v>231</v>
      </c>
      <c r="E16" s="207" t="s">
        <v>232</v>
      </c>
      <c r="F16" s="207" t="s">
        <v>21</v>
      </c>
      <c r="G16" s="207" t="s">
        <v>233</v>
      </c>
      <c r="H16" s="207" t="s">
        <v>234</v>
      </c>
      <c r="I16" s="207" t="str">
        <f>IF(Setup!C21&lt;&gt;"",Setup!C21,Setup!B21)</f>
        <v>Tunisia</v>
      </c>
      <c r="T16" s="209"/>
    </row>
    <row r="17" spans="1:20" x14ac:dyDescent="0.35">
      <c r="A17" s="207">
        <v>16</v>
      </c>
      <c r="B17" s="207" t="str">
        <f>Setup!B22</f>
        <v>France</v>
      </c>
      <c r="C17" s="207" t="s">
        <v>22</v>
      </c>
      <c r="D17" s="207" t="s">
        <v>22</v>
      </c>
      <c r="E17" s="207" t="s">
        <v>235</v>
      </c>
      <c r="F17" s="207" t="s">
        <v>236</v>
      </c>
      <c r="G17" s="207" t="s">
        <v>237</v>
      </c>
      <c r="H17" s="207" t="s">
        <v>236</v>
      </c>
      <c r="I17" s="207" t="str">
        <f>IF(Setup!C22&lt;&gt;"",Setup!C22,Setup!B22)</f>
        <v>France</v>
      </c>
      <c r="T17" s="209"/>
    </row>
    <row r="18" spans="1:20" x14ac:dyDescent="0.35">
      <c r="A18" s="207">
        <v>17</v>
      </c>
      <c r="B18" s="207" t="str">
        <f>Setup!B23</f>
        <v>Australia</v>
      </c>
      <c r="C18" s="207" t="s">
        <v>23</v>
      </c>
      <c r="D18" s="207" t="s">
        <v>238</v>
      </c>
      <c r="E18" s="207" t="s">
        <v>239</v>
      </c>
      <c r="F18" s="207" t="s">
        <v>23</v>
      </c>
      <c r="G18" s="207" t="s">
        <v>240</v>
      </c>
      <c r="H18" s="207" t="s">
        <v>23</v>
      </c>
      <c r="I18" s="207" t="str">
        <f>IF(Setup!C23&lt;&gt;"",Setup!C23,Setup!B23)</f>
        <v>Australia</v>
      </c>
    </row>
    <row r="19" spans="1:20" x14ac:dyDescent="0.35">
      <c r="A19" s="207">
        <v>18</v>
      </c>
      <c r="B19" s="207" t="str">
        <f>Setup!B24</f>
        <v>Germany</v>
      </c>
      <c r="C19" s="207" t="s">
        <v>24</v>
      </c>
      <c r="D19" s="207" t="s">
        <v>241</v>
      </c>
      <c r="E19" s="207" t="s">
        <v>242</v>
      </c>
      <c r="F19" s="207" t="s">
        <v>243</v>
      </c>
      <c r="G19" s="207" t="s">
        <v>244</v>
      </c>
      <c r="H19" s="207" t="s">
        <v>245</v>
      </c>
      <c r="I19" s="207" t="str">
        <f>IF(Setup!C24&lt;&gt;"",Setup!C24,Setup!B24)</f>
        <v>Germany</v>
      </c>
      <c r="T19" s="209"/>
    </row>
    <row r="20" spans="1:20" x14ac:dyDescent="0.35">
      <c r="A20" s="207">
        <v>19</v>
      </c>
      <c r="B20" s="207" t="str">
        <f>Setup!B25</f>
        <v>Japan</v>
      </c>
      <c r="C20" s="207" t="s">
        <v>25</v>
      </c>
      <c r="D20" s="207" t="s">
        <v>246</v>
      </c>
      <c r="E20" s="207" t="s">
        <v>25</v>
      </c>
      <c r="F20" s="207" t="s">
        <v>247</v>
      </c>
      <c r="G20" s="207" t="s">
        <v>248</v>
      </c>
      <c r="H20" s="207" t="s">
        <v>249</v>
      </c>
      <c r="I20" s="207" t="str">
        <f>IF(Setup!C25&lt;&gt;"",Setup!C25,Setup!B25)</f>
        <v>Japan</v>
      </c>
    </row>
    <row r="21" spans="1:20" x14ac:dyDescent="0.35">
      <c r="A21" s="207">
        <v>20</v>
      </c>
      <c r="B21" s="207" t="str">
        <f>Setup!B26</f>
        <v>Spain</v>
      </c>
      <c r="C21" s="207" t="s">
        <v>26</v>
      </c>
      <c r="D21" s="207" t="s">
        <v>250</v>
      </c>
      <c r="E21" s="207" t="s">
        <v>251</v>
      </c>
      <c r="F21" s="207" t="s">
        <v>252</v>
      </c>
      <c r="G21" s="207" t="s">
        <v>253</v>
      </c>
      <c r="H21" s="207" t="s">
        <v>254</v>
      </c>
      <c r="I21" s="207" t="str">
        <f>IF(Setup!C26&lt;&gt;"",Setup!C26,Setup!B26)</f>
        <v>Spain</v>
      </c>
      <c r="T21" s="209"/>
    </row>
    <row r="22" spans="1:20" x14ac:dyDescent="0.35">
      <c r="A22" s="207">
        <v>21</v>
      </c>
      <c r="B22" s="207" t="str">
        <f>Setup!B27</f>
        <v>Costa Rica</v>
      </c>
      <c r="C22" s="207" t="s">
        <v>27</v>
      </c>
      <c r="D22" s="207" t="s">
        <v>27</v>
      </c>
      <c r="E22" s="207" t="s">
        <v>27</v>
      </c>
      <c r="F22" s="207" t="s">
        <v>27</v>
      </c>
      <c r="G22" s="207" t="s">
        <v>27</v>
      </c>
      <c r="H22" s="207" t="s">
        <v>27</v>
      </c>
      <c r="I22" s="207" t="str">
        <f>IF(Setup!C27&lt;&gt;"",Setup!C27,Setup!B27)</f>
        <v>Costa Rica</v>
      </c>
    </row>
    <row r="23" spans="1:20" x14ac:dyDescent="0.35">
      <c r="A23" s="207">
        <v>22</v>
      </c>
      <c r="B23" s="207" t="str">
        <f>Setup!B28</f>
        <v>Morocco</v>
      </c>
      <c r="C23" s="207" t="s">
        <v>28</v>
      </c>
      <c r="D23" s="207" t="s">
        <v>255</v>
      </c>
      <c r="E23" s="207" t="s">
        <v>256</v>
      </c>
      <c r="F23" s="207" t="s">
        <v>257</v>
      </c>
      <c r="G23" s="207" t="s">
        <v>258</v>
      </c>
      <c r="H23" s="207" t="s">
        <v>259</v>
      </c>
      <c r="I23" s="207" t="str">
        <f>IF(Setup!C28&lt;&gt;"",Setup!C28,Setup!B28)</f>
        <v>Morocco</v>
      </c>
      <c r="T23" s="209"/>
    </row>
    <row r="24" spans="1:20" x14ac:dyDescent="0.35">
      <c r="A24" s="207">
        <v>23</v>
      </c>
      <c r="B24" s="207" t="str">
        <f>Setup!B29</f>
        <v>Croatia</v>
      </c>
      <c r="C24" s="207" t="s">
        <v>29</v>
      </c>
      <c r="D24" s="207" t="s">
        <v>260</v>
      </c>
      <c r="E24" s="207" t="s">
        <v>261</v>
      </c>
      <c r="F24" s="207" t="s">
        <v>262</v>
      </c>
      <c r="G24" s="207" t="s">
        <v>263</v>
      </c>
      <c r="H24" s="207" t="s">
        <v>264</v>
      </c>
      <c r="I24" s="207" t="str">
        <f>IF(Setup!C29&lt;&gt;"",Setup!C29,Setup!B29)</f>
        <v>Croatia</v>
      </c>
      <c r="T24" s="209"/>
    </row>
    <row r="25" spans="1:20" x14ac:dyDescent="0.35">
      <c r="A25" s="207">
        <v>24</v>
      </c>
      <c r="B25" s="207" t="str">
        <f>Setup!B30</f>
        <v>Belgium</v>
      </c>
      <c r="C25" s="207" t="s">
        <v>30</v>
      </c>
      <c r="D25" s="207" t="s">
        <v>265</v>
      </c>
      <c r="E25" s="207" t="s">
        <v>266</v>
      </c>
      <c r="F25" s="207" t="s">
        <v>267</v>
      </c>
      <c r="G25" s="207" t="s">
        <v>268</v>
      </c>
      <c r="H25" s="207" t="s">
        <v>268</v>
      </c>
      <c r="I25" s="207" t="str">
        <f>IF(Setup!C30&lt;&gt;"",Setup!C30,Setup!B30)</f>
        <v>Belgium</v>
      </c>
    </row>
    <row r="26" spans="1:20" x14ac:dyDescent="0.35">
      <c r="A26" s="207">
        <v>25</v>
      </c>
      <c r="B26" s="207" t="str">
        <f>Setup!B31</f>
        <v>Canada</v>
      </c>
      <c r="C26" s="207" t="s">
        <v>31</v>
      </c>
      <c r="D26" s="207" t="s">
        <v>31</v>
      </c>
      <c r="E26" s="207" t="s">
        <v>269</v>
      </c>
      <c r="F26" s="207" t="s">
        <v>31</v>
      </c>
      <c r="G26" s="207" t="s">
        <v>270</v>
      </c>
      <c r="H26" s="207" t="s">
        <v>270</v>
      </c>
      <c r="I26" s="207" t="str">
        <f>IF(Setup!C31&lt;&gt;"",Setup!C31,Setup!B31)</f>
        <v>Canada</v>
      </c>
      <c r="T26" s="209"/>
    </row>
    <row r="27" spans="1:20" x14ac:dyDescent="0.35">
      <c r="A27" s="207">
        <v>26</v>
      </c>
      <c r="B27" s="207" t="str">
        <f>Setup!B32</f>
        <v>Switzerland</v>
      </c>
      <c r="C27" s="207" t="s">
        <v>32</v>
      </c>
      <c r="D27" s="207" t="s">
        <v>271</v>
      </c>
      <c r="E27" s="207" t="s">
        <v>272</v>
      </c>
      <c r="F27" s="207" t="s">
        <v>273</v>
      </c>
      <c r="G27" s="207" t="s">
        <v>274</v>
      </c>
      <c r="H27" s="207" t="s">
        <v>275</v>
      </c>
      <c r="I27" s="207" t="str">
        <f>IF(Setup!C32&lt;&gt;"",Setup!C32,Setup!B32)</f>
        <v>Switzerland</v>
      </c>
      <c r="T27" s="209"/>
    </row>
    <row r="28" spans="1:20" x14ac:dyDescent="0.35">
      <c r="A28" s="207">
        <v>27</v>
      </c>
      <c r="B28" s="207" t="str">
        <f>Setup!B33</f>
        <v>Cameroon</v>
      </c>
      <c r="C28" s="207" t="s">
        <v>33</v>
      </c>
      <c r="D28" s="207" t="s">
        <v>276</v>
      </c>
      <c r="E28" s="207" t="s">
        <v>277</v>
      </c>
      <c r="F28" s="207" t="s">
        <v>278</v>
      </c>
      <c r="G28" s="207" t="s">
        <v>279</v>
      </c>
      <c r="H28" s="207" t="s">
        <v>280</v>
      </c>
      <c r="I28" s="207" t="str">
        <f>IF(Setup!C33&lt;&gt;"",Setup!C33,Setup!B33)</f>
        <v>Cameroon</v>
      </c>
      <c r="T28" s="209"/>
    </row>
    <row r="29" spans="1:20" x14ac:dyDescent="0.35">
      <c r="A29" s="207">
        <v>28</v>
      </c>
      <c r="B29" s="207" t="str">
        <f>Setup!B34</f>
        <v>Brazil</v>
      </c>
      <c r="C29" s="207" t="s">
        <v>34</v>
      </c>
      <c r="D29" s="207" t="s">
        <v>281</v>
      </c>
      <c r="E29" s="207" t="s">
        <v>282</v>
      </c>
      <c r="F29" s="207" t="s">
        <v>283</v>
      </c>
      <c r="G29" s="207" t="s">
        <v>284</v>
      </c>
      <c r="H29" s="207" t="s">
        <v>284</v>
      </c>
      <c r="I29" s="207" t="str">
        <f>IF(Setup!C34&lt;&gt;"",Setup!C34,Setup!B34)</f>
        <v>Brazil</v>
      </c>
    </row>
    <row r="30" spans="1:20" x14ac:dyDescent="0.35">
      <c r="A30" s="207">
        <v>29</v>
      </c>
      <c r="B30" s="207" t="str">
        <f>Setup!B35</f>
        <v>Serbia</v>
      </c>
      <c r="C30" s="207" t="s">
        <v>35</v>
      </c>
      <c r="D30" s="207" t="s">
        <v>285</v>
      </c>
      <c r="E30" s="207" t="s">
        <v>286</v>
      </c>
      <c r="F30" s="207" t="s">
        <v>35</v>
      </c>
      <c r="G30" s="207" t="s">
        <v>287</v>
      </c>
      <c r="H30" s="207" t="s">
        <v>35</v>
      </c>
      <c r="I30" s="207" t="str">
        <f>IF(Setup!C35&lt;&gt;"",Setup!C35,Setup!B35)</f>
        <v>Serbia</v>
      </c>
    </row>
    <row r="31" spans="1:20" x14ac:dyDescent="0.35">
      <c r="A31" s="207">
        <v>30</v>
      </c>
      <c r="B31" s="207" t="str">
        <f>Setup!B36</f>
        <v>Uruguay</v>
      </c>
      <c r="C31" s="207" t="s">
        <v>36</v>
      </c>
      <c r="D31" s="207" t="s">
        <v>36</v>
      </c>
      <c r="E31" s="207" t="s">
        <v>36</v>
      </c>
      <c r="F31" s="207" t="s">
        <v>36</v>
      </c>
      <c r="G31" s="207" t="s">
        <v>288</v>
      </c>
      <c r="H31" s="207" t="s">
        <v>36</v>
      </c>
      <c r="I31" s="207" t="str">
        <f>IF(Setup!C36&lt;&gt;"",Setup!C36,Setup!B36)</f>
        <v>Uruguay</v>
      </c>
      <c r="T31" s="209"/>
    </row>
    <row r="32" spans="1:20" x14ac:dyDescent="0.35">
      <c r="A32" s="207">
        <v>31</v>
      </c>
      <c r="B32" s="207" t="str">
        <f>Setup!B37</f>
        <v>South Korea</v>
      </c>
      <c r="C32" s="207" t="s">
        <v>37</v>
      </c>
      <c r="D32" s="207" t="s">
        <v>289</v>
      </c>
      <c r="E32" s="207" t="s">
        <v>290</v>
      </c>
      <c r="F32" s="207" t="s">
        <v>291</v>
      </c>
      <c r="G32" s="207" t="s">
        <v>292</v>
      </c>
      <c r="H32" s="207" t="s">
        <v>293</v>
      </c>
      <c r="I32" s="207" t="str">
        <f>IF(Setup!C37&lt;&gt;"",Setup!C37,Setup!B37)</f>
        <v>South Korea</v>
      </c>
      <c r="T32" s="209"/>
    </row>
    <row r="33" spans="1:20" x14ac:dyDescent="0.35">
      <c r="A33" s="207">
        <v>32</v>
      </c>
      <c r="B33" s="207" t="str">
        <f>Setup!B38</f>
        <v>Portugal</v>
      </c>
      <c r="C33" s="207" t="s">
        <v>38</v>
      </c>
      <c r="D33" s="207" t="s">
        <v>294</v>
      </c>
      <c r="E33" s="207" t="s">
        <v>38</v>
      </c>
      <c r="F33" s="207" t="s">
        <v>295</v>
      </c>
      <c r="G33" s="207" t="s">
        <v>38</v>
      </c>
      <c r="H33" s="207" t="s">
        <v>38</v>
      </c>
      <c r="I33" s="207" t="str">
        <f>IF(Setup!C38&lt;&gt;"",Setup!C38,Setup!B38)</f>
        <v>Portugal</v>
      </c>
      <c r="T33" s="209"/>
    </row>
    <row r="34" spans="1:20" x14ac:dyDescent="0.35">
      <c r="A34" s="207">
        <v>33</v>
      </c>
      <c r="B34" s="207" t="str">
        <f>Setup!B39</f>
        <v>Ghana</v>
      </c>
      <c r="C34" s="207" t="s">
        <v>39</v>
      </c>
      <c r="D34" s="207" t="s">
        <v>39</v>
      </c>
      <c r="E34" s="207" t="s">
        <v>39</v>
      </c>
      <c r="F34" s="207" t="s">
        <v>39</v>
      </c>
      <c r="G34" s="207" t="s">
        <v>296</v>
      </c>
      <c r="H34" s="207" t="s">
        <v>39</v>
      </c>
      <c r="I34" s="207" t="str">
        <f>IF(Setup!C39&lt;&gt;"",Setup!C39,Setup!B39)</f>
        <v>Ghana</v>
      </c>
      <c r="T34" s="209"/>
    </row>
    <row r="35" spans="1:20" x14ac:dyDescent="0.35">
      <c r="A35" s="207">
        <v>34</v>
      </c>
      <c r="B35" s="207" t="str">
        <f>Setup!B40</f>
        <v>Language</v>
      </c>
      <c r="C35" s="207" t="s">
        <v>40</v>
      </c>
      <c r="D35" s="207" t="s">
        <v>297</v>
      </c>
      <c r="E35" s="207" t="s">
        <v>298</v>
      </c>
      <c r="F35" s="207" t="s">
        <v>299</v>
      </c>
      <c r="G35" s="207" t="s">
        <v>300</v>
      </c>
      <c r="H35" s="207" t="s">
        <v>300</v>
      </c>
      <c r="I35" s="207" t="str">
        <f>IF(Setup!C40&lt;&gt;"",Setup!C40,Setup!B40)</f>
        <v>Language</v>
      </c>
    </row>
    <row r="36" spans="1:20" x14ac:dyDescent="0.35">
      <c r="A36" s="207">
        <v>35</v>
      </c>
      <c r="B36" s="207" t="str">
        <f>Setup!B41</f>
        <v>Timezone</v>
      </c>
      <c r="C36" s="207" t="s">
        <v>42</v>
      </c>
      <c r="D36" s="207" t="s">
        <v>301</v>
      </c>
      <c r="E36" s="207" t="s">
        <v>302</v>
      </c>
      <c r="F36" s="207" t="s">
        <v>303</v>
      </c>
      <c r="G36" s="207" t="s">
        <v>304</v>
      </c>
      <c r="H36" s="207" t="s">
        <v>305</v>
      </c>
      <c r="I36" s="207" t="str">
        <f>IF(Setup!C41&lt;&gt;"",Setup!C41,Setup!B41)</f>
        <v>Timezone</v>
      </c>
    </row>
    <row r="37" spans="1:20" x14ac:dyDescent="0.35">
      <c r="A37" s="207">
        <v>36</v>
      </c>
      <c r="B37" s="207" t="str">
        <f>Setup!B42</f>
        <v>Group Stages</v>
      </c>
      <c r="C37" s="207" t="s">
        <v>43</v>
      </c>
      <c r="D37" s="207" t="s">
        <v>306</v>
      </c>
      <c r="E37" s="207" t="s">
        <v>307</v>
      </c>
      <c r="F37" s="207" t="s">
        <v>308</v>
      </c>
      <c r="G37" s="207" t="s">
        <v>309</v>
      </c>
      <c r="H37" s="207" t="s">
        <v>310</v>
      </c>
      <c r="I37" s="207" t="str">
        <f>IF(Setup!C42&lt;&gt;"",Setup!C42,Setup!B42)</f>
        <v>Group Stages</v>
      </c>
    </row>
    <row r="38" spans="1:20" x14ac:dyDescent="0.35">
      <c r="A38" s="207">
        <v>37</v>
      </c>
      <c r="B38" s="207" t="str">
        <f>Setup!B43</f>
        <v>Matches</v>
      </c>
      <c r="C38" s="207" t="s">
        <v>44</v>
      </c>
      <c r="D38" s="207" t="s">
        <v>311</v>
      </c>
      <c r="E38" s="207" t="s">
        <v>312</v>
      </c>
      <c r="F38" s="207" t="s">
        <v>313</v>
      </c>
      <c r="G38" s="207" t="s">
        <v>314</v>
      </c>
      <c r="H38" s="207" t="s">
        <v>315</v>
      </c>
      <c r="I38" s="207" t="str">
        <f>IF(Setup!C43&lt;&gt;"",Setup!C43,Setup!B43)</f>
        <v>Matches</v>
      </c>
    </row>
    <row r="39" spans="1:20" x14ac:dyDescent="0.35">
      <c r="A39" s="207">
        <v>38</v>
      </c>
      <c r="B39" s="207" t="str">
        <f>Setup!B44</f>
        <v>Standings</v>
      </c>
      <c r="C39" s="207" t="s">
        <v>45</v>
      </c>
      <c r="D39" s="207" t="s">
        <v>316</v>
      </c>
      <c r="E39" s="207" t="s">
        <v>317</v>
      </c>
      <c r="F39" s="207" t="s">
        <v>318</v>
      </c>
      <c r="G39" s="207" t="s">
        <v>319</v>
      </c>
      <c r="H39" s="207" t="s">
        <v>320</v>
      </c>
      <c r="I39" s="207" t="str">
        <f>IF(Setup!C44&lt;&gt;"",Setup!C44,Setup!B44)</f>
        <v>Standings</v>
      </c>
    </row>
    <row r="40" spans="1:20" x14ac:dyDescent="0.35">
      <c r="A40" s="207">
        <v>39</v>
      </c>
      <c r="B40" s="207" t="str">
        <f>Setup!B45</f>
        <v>Group</v>
      </c>
      <c r="C40" s="207" t="s">
        <v>46</v>
      </c>
      <c r="D40" s="207" t="s">
        <v>321</v>
      </c>
      <c r="E40" s="207" t="s">
        <v>322</v>
      </c>
      <c r="F40" s="207" t="s">
        <v>323</v>
      </c>
      <c r="G40" s="207" t="s">
        <v>324</v>
      </c>
      <c r="H40" s="207" t="s">
        <v>324</v>
      </c>
      <c r="I40" s="207" t="str">
        <f>IF(Setup!C45&lt;&gt;"",Setup!C45,Setup!B45)</f>
        <v>Group</v>
      </c>
    </row>
    <row r="41" spans="1:20" x14ac:dyDescent="0.35">
      <c r="A41" s="207">
        <v>40</v>
      </c>
      <c r="B41" s="207" t="str">
        <f>Setup!B46</f>
        <v>Date</v>
      </c>
      <c r="C41" s="207" t="s">
        <v>47</v>
      </c>
      <c r="D41" s="207" t="s">
        <v>47</v>
      </c>
      <c r="E41" s="207" t="s">
        <v>325</v>
      </c>
      <c r="F41" s="207" t="s">
        <v>326</v>
      </c>
      <c r="G41" s="207" t="s">
        <v>326</v>
      </c>
      <c r="H41" s="207" t="s">
        <v>327</v>
      </c>
      <c r="I41" s="207" t="str">
        <f>IF(Setup!C46&lt;&gt;"",Setup!C46,Setup!B46)</f>
        <v>Date</v>
      </c>
    </row>
    <row r="42" spans="1:20" x14ac:dyDescent="0.35">
      <c r="A42" s="207">
        <v>41</v>
      </c>
      <c r="B42" s="207" t="str">
        <f>Setup!B47</f>
        <v>Country</v>
      </c>
      <c r="C42" s="207" t="s">
        <v>48</v>
      </c>
      <c r="D42" s="207" t="s">
        <v>328</v>
      </c>
      <c r="E42" s="207" t="s">
        <v>329</v>
      </c>
      <c r="F42" s="207" t="s">
        <v>330</v>
      </c>
      <c r="G42" s="207" t="s">
        <v>331</v>
      </c>
      <c r="H42" s="207" t="s">
        <v>331</v>
      </c>
      <c r="I42" s="207" t="str">
        <f>IF(Setup!C47&lt;&gt;"",Setup!C47,Setup!B47)</f>
        <v>Country</v>
      </c>
    </row>
    <row r="43" spans="1:20" x14ac:dyDescent="0.35">
      <c r="A43" s="207">
        <v>42</v>
      </c>
      <c r="B43" s="207" t="str">
        <f>Setup!B48</f>
        <v>Score</v>
      </c>
      <c r="C43" s="207" t="s">
        <v>49</v>
      </c>
      <c r="D43" s="207" t="s">
        <v>49</v>
      </c>
      <c r="E43" s="207" t="s">
        <v>332</v>
      </c>
      <c r="F43" s="207" t="s">
        <v>333</v>
      </c>
      <c r="G43" s="207" t="s">
        <v>334</v>
      </c>
      <c r="H43" s="207" t="s">
        <v>334</v>
      </c>
      <c r="I43" s="207" t="str">
        <f>IF(Setup!C48&lt;&gt;"",Setup!C48,Setup!B48)</f>
        <v>Score</v>
      </c>
    </row>
    <row r="44" spans="1:20" x14ac:dyDescent="0.35">
      <c r="A44" s="207">
        <v>43</v>
      </c>
      <c r="B44" s="207" t="str">
        <f>Setup!B49</f>
        <v>Time</v>
      </c>
      <c r="C44" s="207" t="s">
        <v>50</v>
      </c>
      <c r="D44" s="207" t="s">
        <v>335</v>
      </c>
      <c r="E44" s="207" t="s">
        <v>336</v>
      </c>
      <c r="F44" s="207" t="s">
        <v>337</v>
      </c>
      <c r="G44" s="207" t="s">
        <v>338</v>
      </c>
      <c r="H44" s="207" t="s">
        <v>339</v>
      </c>
      <c r="I44" s="207" t="str">
        <f>IF(Setup!C49&lt;&gt;"",Setup!C49,Setup!B49)</f>
        <v>Time</v>
      </c>
    </row>
    <row r="45" spans="1:20" x14ac:dyDescent="0.35">
      <c r="A45" s="207">
        <v>44</v>
      </c>
      <c r="B45" s="207" t="str">
        <f>Setup!B50</f>
        <v>Round of 16</v>
      </c>
      <c r="C45" s="207" t="s">
        <v>51</v>
      </c>
      <c r="D45" s="207" t="s">
        <v>340</v>
      </c>
      <c r="E45" s="207" t="s">
        <v>341</v>
      </c>
      <c r="F45" s="207" t="s">
        <v>342</v>
      </c>
      <c r="G45" s="207" t="s">
        <v>343</v>
      </c>
      <c r="H45" s="207" t="s">
        <v>344</v>
      </c>
      <c r="I45" s="207" t="str">
        <f>IF(Setup!C50&lt;&gt;"",Setup!C50,Setup!B50)</f>
        <v>Round of 16</v>
      </c>
    </row>
    <row r="46" spans="1:20" x14ac:dyDescent="0.35">
      <c r="A46" s="207">
        <v>45</v>
      </c>
      <c r="B46" s="207" t="str">
        <f>Setup!B51</f>
        <v>Quarter Finals</v>
      </c>
      <c r="C46" s="207" t="s">
        <v>52</v>
      </c>
      <c r="D46" s="207" t="s">
        <v>345</v>
      </c>
      <c r="E46" s="207" t="s">
        <v>346</v>
      </c>
      <c r="F46" s="207" t="s">
        <v>347</v>
      </c>
      <c r="G46" s="207" t="s">
        <v>348</v>
      </c>
      <c r="H46" s="207" t="s">
        <v>349</v>
      </c>
      <c r="I46" s="207" t="str">
        <f>IF(Setup!C51&lt;&gt;"",Setup!C51,Setup!B51)</f>
        <v>Quarter Finals</v>
      </c>
    </row>
    <row r="47" spans="1:20" x14ac:dyDescent="0.35">
      <c r="A47" s="207">
        <v>46</v>
      </c>
      <c r="B47" s="207" t="str">
        <f>Setup!B52</f>
        <v>Semi Finals</v>
      </c>
      <c r="C47" s="207" t="s">
        <v>53</v>
      </c>
      <c r="D47" s="207" t="s">
        <v>350</v>
      </c>
      <c r="E47" s="207" t="s">
        <v>351</v>
      </c>
      <c r="F47" s="207" t="s">
        <v>352</v>
      </c>
      <c r="G47" s="207" t="s">
        <v>353</v>
      </c>
      <c r="H47" s="207" t="s">
        <v>354</v>
      </c>
      <c r="I47" s="207" t="str">
        <f>IF(Setup!C52&lt;&gt;"",Setup!C52,Setup!B52)</f>
        <v>Semi Finals</v>
      </c>
    </row>
    <row r="48" spans="1:20" x14ac:dyDescent="0.35">
      <c r="A48" s="207">
        <v>47</v>
      </c>
      <c r="B48" s="207" t="str">
        <f>Setup!B53</f>
        <v>Third Place</v>
      </c>
      <c r="C48" s="207" t="s">
        <v>54</v>
      </c>
      <c r="D48" s="207" t="s">
        <v>730</v>
      </c>
      <c r="E48" s="207" t="s">
        <v>724</v>
      </c>
      <c r="F48" s="207" t="s">
        <v>736</v>
      </c>
      <c r="G48" s="207" t="s">
        <v>742</v>
      </c>
      <c r="H48" s="207" t="s">
        <v>747</v>
      </c>
      <c r="I48" s="207" t="str">
        <f>IF(Setup!C53&lt;&gt;"",Setup!C53,Setup!B53)</f>
        <v>Third Place</v>
      </c>
    </row>
    <row r="49" spans="1:9" x14ac:dyDescent="0.35">
      <c r="A49" s="207">
        <v>48</v>
      </c>
      <c r="B49" s="207" t="str">
        <f>Setup!B54</f>
        <v>Final</v>
      </c>
      <c r="C49" s="207" t="s">
        <v>55</v>
      </c>
      <c r="D49" s="207" t="s">
        <v>355</v>
      </c>
      <c r="E49" s="207" t="s">
        <v>355</v>
      </c>
      <c r="F49" s="207" t="s">
        <v>355</v>
      </c>
      <c r="G49" s="207" t="s">
        <v>55</v>
      </c>
      <c r="H49" s="207" t="s">
        <v>55</v>
      </c>
      <c r="I49" s="207" t="str">
        <f>IF(Setup!C54&lt;&gt;"",Setup!C54,Setup!B54)</f>
        <v>Final</v>
      </c>
    </row>
    <row r="50" spans="1:9" x14ac:dyDescent="0.35">
      <c r="A50" s="207">
        <v>49</v>
      </c>
      <c r="B50" s="207" t="str">
        <f>Setup!B55</f>
        <v>Winner</v>
      </c>
      <c r="C50" s="207" t="s">
        <v>56</v>
      </c>
      <c r="D50" s="207" t="s">
        <v>356</v>
      </c>
      <c r="E50" s="207" t="s">
        <v>357</v>
      </c>
      <c r="F50" s="207" t="s">
        <v>358</v>
      </c>
      <c r="G50" s="207" t="s">
        <v>359</v>
      </c>
      <c r="H50" s="207" t="s">
        <v>360</v>
      </c>
      <c r="I50" s="207" t="str">
        <f>IF(Setup!C55&lt;&gt;"",Setup!C55,Setup!B55)</f>
        <v>Winner</v>
      </c>
    </row>
    <row r="51" spans="1:9" x14ac:dyDescent="0.35">
      <c r="A51" s="207">
        <v>50</v>
      </c>
      <c r="B51" s="207" t="str">
        <f>Setup!B56</f>
        <v>Runner Up</v>
      </c>
      <c r="C51" s="207" t="s">
        <v>57</v>
      </c>
      <c r="D51" s="207" t="s">
        <v>361</v>
      </c>
      <c r="E51" s="207" t="s">
        <v>362</v>
      </c>
      <c r="F51" s="207" t="s">
        <v>363</v>
      </c>
      <c r="G51" s="207" t="s">
        <v>364</v>
      </c>
      <c r="H51" s="207" t="s">
        <v>365</v>
      </c>
      <c r="I51" s="207" t="str">
        <f>IF(Setup!C56&lt;&gt;"",Setup!C56,Setup!B56)</f>
        <v>Runner Up</v>
      </c>
    </row>
    <row r="52" spans="1:9" x14ac:dyDescent="0.35">
      <c r="A52" s="207">
        <v>51</v>
      </c>
      <c r="B52" s="207" t="str">
        <f>Setup!B57</f>
        <v>Normal Time</v>
      </c>
      <c r="C52" s="207" t="s">
        <v>58</v>
      </c>
      <c r="D52" s="207" t="s">
        <v>366</v>
      </c>
      <c r="E52" s="207" t="s">
        <v>367</v>
      </c>
      <c r="F52" s="207" t="s">
        <v>368</v>
      </c>
      <c r="G52" s="207" t="s">
        <v>369</v>
      </c>
      <c r="H52" s="207" t="s">
        <v>370</v>
      </c>
      <c r="I52" s="207" t="str">
        <f>IF(Setup!C57&lt;&gt;"",Setup!C57,Setup!B57)</f>
        <v>Normal Time</v>
      </c>
    </row>
    <row r="53" spans="1:9" x14ac:dyDescent="0.35">
      <c r="A53" s="207">
        <v>52</v>
      </c>
      <c r="B53" s="207" t="s">
        <v>699</v>
      </c>
      <c r="C53" s="207" t="s">
        <v>699</v>
      </c>
      <c r="D53" s="207" t="s">
        <v>731</v>
      </c>
      <c r="E53" s="207" t="s">
        <v>725</v>
      </c>
      <c r="F53" s="207" t="s">
        <v>737</v>
      </c>
      <c r="G53" s="207" t="s">
        <v>743</v>
      </c>
      <c r="H53" s="207" t="s">
        <v>748</v>
      </c>
      <c r="I53" s="207" t="str">
        <f>IF(Setup!C58&lt;&gt;"",Setup!C58,Setup!B58)</f>
        <v>Knock Out Rounds</v>
      </c>
    </row>
    <row r="54" spans="1:9" x14ac:dyDescent="0.35">
      <c r="A54" s="207">
        <v>53</v>
      </c>
      <c r="B54" s="207" t="str">
        <f>Setup!B59</f>
        <v>Penalty Shoot Out</v>
      </c>
      <c r="C54" s="207" t="s">
        <v>59</v>
      </c>
      <c r="D54" s="207" t="s">
        <v>371</v>
      </c>
      <c r="E54" s="207" t="s">
        <v>372</v>
      </c>
      <c r="F54" s="207" t="s">
        <v>373</v>
      </c>
      <c r="G54" s="207" t="s">
        <v>374</v>
      </c>
      <c r="H54" s="207" t="s">
        <v>375</v>
      </c>
      <c r="I54" s="207" t="str">
        <f>IF(Setup!C59&lt;&gt;"",Setup!C59,Setup!B59)</f>
        <v>Penalty Shoot Out</v>
      </c>
    </row>
    <row r="55" spans="1:9" x14ac:dyDescent="0.35">
      <c r="A55" s="207">
        <v>54</v>
      </c>
      <c r="B55" s="207" t="str">
        <f>Setup!B60</f>
        <v>Champion</v>
      </c>
      <c r="C55" s="207" t="s">
        <v>60</v>
      </c>
      <c r="D55" s="207" t="s">
        <v>60</v>
      </c>
      <c r="E55" s="207" t="s">
        <v>376</v>
      </c>
      <c r="F55" s="207" t="s">
        <v>377</v>
      </c>
      <c r="G55" s="207" t="s">
        <v>378</v>
      </c>
      <c r="H55" s="207" t="s">
        <v>379</v>
      </c>
      <c r="I55" s="207" t="str">
        <f>IF(Setup!C60&lt;&gt;"",Setup!C60,Setup!B60)</f>
        <v>Champion</v>
      </c>
    </row>
    <row r="56" spans="1:9" x14ac:dyDescent="0.35">
      <c r="A56" s="207">
        <v>55</v>
      </c>
      <c r="B56" s="207" t="str">
        <f>Setup!B61</f>
        <v>Match #</v>
      </c>
      <c r="C56" s="207" t="s">
        <v>61</v>
      </c>
      <c r="D56" s="207" t="s">
        <v>61</v>
      </c>
      <c r="E56" s="207" t="s">
        <v>380</v>
      </c>
      <c r="F56" s="207" t="s">
        <v>381</v>
      </c>
      <c r="G56" s="207" t="s">
        <v>382</v>
      </c>
      <c r="H56" s="207" t="s">
        <v>383</v>
      </c>
      <c r="I56" s="207" t="str">
        <f>IF(Setup!C61&lt;&gt;"",Setup!C61,Setup!B61)</f>
        <v>Match #</v>
      </c>
    </row>
    <row r="57" spans="1:9" x14ac:dyDescent="0.35">
      <c r="A57" s="207">
        <v>56</v>
      </c>
      <c r="B57" s="207" t="str">
        <f>Setup!B62</f>
        <v>Group A Winner</v>
      </c>
      <c r="C57" s="207" t="s">
        <v>62</v>
      </c>
      <c r="D57" s="207" t="s">
        <v>384</v>
      </c>
      <c r="E57" s="207" t="s">
        <v>385</v>
      </c>
      <c r="F57" s="207" t="s">
        <v>386</v>
      </c>
      <c r="G57" s="207" t="s">
        <v>387</v>
      </c>
      <c r="H57" s="207" t="s">
        <v>388</v>
      </c>
      <c r="I57" s="207" t="str">
        <f>IF(Setup!C62&lt;&gt;"",Setup!C62,Setup!B62)</f>
        <v>Group A Winner</v>
      </c>
    </row>
    <row r="58" spans="1:9" x14ac:dyDescent="0.35">
      <c r="A58" s="207">
        <v>57</v>
      </c>
      <c r="B58" s="207" t="str">
        <f>Setup!B63</f>
        <v>Group B Winner</v>
      </c>
      <c r="C58" s="207" t="s">
        <v>63</v>
      </c>
      <c r="D58" s="207" t="s">
        <v>389</v>
      </c>
      <c r="E58" s="207" t="s">
        <v>390</v>
      </c>
      <c r="F58" s="207" t="s">
        <v>391</v>
      </c>
      <c r="G58" s="207" t="s">
        <v>392</v>
      </c>
      <c r="H58" s="207" t="s">
        <v>393</v>
      </c>
      <c r="I58" s="207" t="str">
        <f>IF(Setup!C63&lt;&gt;"",Setup!C63,Setup!B63)</f>
        <v>Group B Winner</v>
      </c>
    </row>
    <row r="59" spans="1:9" x14ac:dyDescent="0.35">
      <c r="A59" s="207">
        <v>58</v>
      </c>
      <c r="B59" s="207" t="str">
        <f>Setup!B64</f>
        <v>Group C Winner</v>
      </c>
      <c r="C59" s="207" t="s">
        <v>64</v>
      </c>
      <c r="D59" s="207" t="s">
        <v>394</v>
      </c>
      <c r="E59" s="207" t="s">
        <v>395</v>
      </c>
      <c r="F59" s="207" t="s">
        <v>396</v>
      </c>
      <c r="G59" s="207" t="s">
        <v>397</v>
      </c>
      <c r="H59" s="207" t="s">
        <v>398</v>
      </c>
      <c r="I59" s="207" t="str">
        <f>IF(Setup!C64&lt;&gt;"",Setup!C64,Setup!B64)</f>
        <v>Group C Winner</v>
      </c>
    </row>
    <row r="60" spans="1:9" x14ac:dyDescent="0.35">
      <c r="A60" s="207">
        <v>59</v>
      </c>
      <c r="B60" s="207" t="str">
        <f>Setup!B65</f>
        <v>Group D Winner</v>
      </c>
      <c r="C60" s="207" t="s">
        <v>65</v>
      </c>
      <c r="D60" s="207" t="s">
        <v>399</v>
      </c>
      <c r="E60" s="207" t="s">
        <v>400</v>
      </c>
      <c r="F60" s="207" t="s">
        <v>401</v>
      </c>
      <c r="G60" s="207" t="s">
        <v>402</v>
      </c>
      <c r="H60" s="207" t="s">
        <v>403</v>
      </c>
      <c r="I60" s="207" t="str">
        <f>IF(Setup!C65&lt;&gt;"",Setup!C65,Setup!B65)</f>
        <v>Group D Winner</v>
      </c>
    </row>
    <row r="61" spans="1:9" x14ac:dyDescent="0.35">
      <c r="A61" s="207">
        <v>60</v>
      </c>
      <c r="B61" s="207" t="str">
        <f>Setup!B66</f>
        <v>Group E Winner</v>
      </c>
      <c r="C61" s="207" t="s">
        <v>66</v>
      </c>
      <c r="D61" s="207" t="s">
        <v>404</v>
      </c>
      <c r="E61" s="207" t="s">
        <v>405</v>
      </c>
      <c r="F61" s="207" t="s">
        <v>406</v>
      </c>
      <c r="G61" s="207" t="s">
        <v>407</v>
      </c>
      <c r="H61" s="207" t="s">
        <v>408</v>
      </c>
      <c r="I61" s="207" t="str">
        <f>IF(Setup!C66&lt;&gt;"",Setup!C66,Setup!B66)</f>
        <v>Group E Winner</v>
      </c>
    </row>
    <row r="62" spans="1:9" x14ac:dyDescent="0.35">
      <c r="A62" s="207">
        <v>61</v>
      </c>
      <c r="B62" s="207" t="str">
        <f>Setup!B67</f>
        <v>Group F Winner</v>
      </c>
      <c r="C62" s="207" t="s">
        <v>67</v>
      </c>
      <c r="D62" s="207" t="s">
        <v>409</v>
      </c>
      <c r="E62" s="207" t="s">
        <v>410</v>
      </c>
      <c r="F62" s="207" t="s">
        <v>411</v>
      </c>
      <c r="G62" s="207" t="s">
        <v>412</v>
      </c>
      <c r="H62" s="207" t="s">
        <v>413</v>
      </c>
      <c r="I62" s="207" t="str">
        <f>IF(Setup!C67&lt;&gt;"",Setup!C67,Setup!B67)</f>
        <v>Group F Winner</v>
      </c>
    </row>
    <row r="63" spans="1:9" x14ac:dyDescent="0.35">
      <c r="A63" s="207">
        <v>62</v>
      </c>
      <c r="B63" s="207" t="str">
        <f>Setup!B68</f>
        <v>Group G Winner</v>
      </c>
      <c r="C63" s="207" t="s">
        <v>68</v>
      </c>
      <c r="D63" s="207" t="s">
        <v>414</v>
      </c>
      <c r="E63" s="207" t="s">
        <v>415</v>
      </c>
      <c r="F63" s="207" t="s">
        <v>416</v>
      </c>
      <c r="G63" s="207" t="s">
        <v>417</v>
      </c>
      <c r="H63" s="207" t="s">
        <v>418</v>
      </c>
      <c r="I63" s="207" t="str">
        <f>IF(Setup!C68&lt;&gt;"",Setup!C68,Setup!B68)</f>
        <v>Group G Winner</v>
      </c>
    </row>
    <row r="64" spans="1:9" x14ac:dyDescent="0.35">
      <c r="A64" s="207">
        <v>63</v>
      </c>
      <c r="B64" s="207" t="str">
        <f>Setup!B69</f>
        <v>Group H Winner</v>
      </c>
      <c r="C64" s="207" t="s">
        <v>69</v>
      </c>
      <c r="D64" s="207" t="s">
        <v>419</v>
      </c>
      <c r="E64" s="207" t="s">
        <v>420</v>
      </c>
      <c r="F64" s="207" t="s">
        <v>421</v>
      </c>
      <c r="G64" s="207" t="s">
        <v>422</v>
      </c>
      <c r="H64" s="207" t="s">
        <v>423</v>
      </c>
      <c r="I64" s="207" t="str">
        <f>IF(Setup!C69&lt;&gt;"",Setup!C69,Setup!B69)</f>
        <v>Group H Winner</v>
      </c>
    </row>
    <row r="65" spans="1:9" x14ac:dyDescent="0.35">
      <c r="A65" s="207">
        <v>64</v>
      </c>
      <c r="B65" s="207" t="str">
        <f>Setup!B70</f>
        <v>Group A Runner Up</v>
      </c>
      <c r="C65" s="207" t="s">
        <v>70</v>
      </c>
      <c r="D65" s="207" t="s">
        <v>424</v>
      </c>
      <c r="E65" s="207" t="s">
        <v>425</v>
      </c>
      <c r="F65" s="207" t="s">
        <v>426</v>
      </c>
      <c r="G65" s="207" t="s">
        <v>427</v>
      </c>
      <c r="H65" s="207" t="s">
        <v>428</v>
      </c>
      <c r="I65" s="207" t="str">
        <f>IF(Setup!C70&lt;&gt;"",Setup!C70,Setup!B70)</f>
        <v>Group A Runner Up</v>
      </c>
    </row>
    <row r="66" spans="1:9" x14ac:dyDescent="0.35">
      <c r="A66" s="207">
        <v>65</v>
      </c>
      <c r="B66" s="207" t="str">
        <f>Setup!B71</f>
        <v>Group B Runner Up</v>
      </c>
      <c r="C66" s="207" t="s">
        <v>71</v>
      </c>
      <c r="D66" s="207" t="s">
        <v>429</v>
      </c>
      <c r="E66" s="207" t="s">
        <v>430</v>
      </c>
      <c r="F66" s="207" t="s">
        <v>431</v>
      </c>
      <c r="G66" s="207" t="s">
        <v>432</v>
      </c>
      <c r="H66" s="207" t="s">
        <v>433</v>
      </c>
      <c r="I66" s="207" t="str">
        <f>IF(Setup!C71&lt;&gt;"",Setup!C71,Setup!B71)</f>
        <v>Group B Runner Up</v>
      </c>
    </row>
    <row r="67" spans="1:9" x14ac:dyDescent="0.35">
      <c r="A67" s="207">
        <v>66</v>
      </c>
      <c r="B67" s="207" t="str">
        <f>Setup!B72</f>
        <v>Group C Runner Up</v>
      </c>
      <c r="C67" s="207" t="s">
        <v>72</v>
      </c>
      <c r="D67" s="207" t="s">
        <v>434</v>
      </c>
      <c r="E67" s="207" t="s">
        <v>435</v>
      </c>
      <c r="F67" s="207" t="s">
        <v>436</v>
      </c>
      <c r="G67" s="207" t="s">
        <v>437</v>
      </c>
      <c r="H67" s="207" t="s">
        <v>438</v>
      </c>
      <c r="I67" s="207" t="str">
        <f>IF(Setup!C72&lt;&gt;"",Setup!C72,Setup!B72)</f>
        <v>Group C Runner Up</v>
      </c>
    </row>
    <row r="68" spans="1:9" x14ac:dyDescent="0.35">
      <c r="A68" s="207">
        <v>67</v>
      </c>
      <c r="B68" s="207" t="str">
        <f>Setup!B73</f>
        <v>Group D Runner Up</v>
      </c>
      <c r="C68" s="207" t="s">
        <v>73</v>
      </c>
      <c r="D68" s="207" t="s">
        <v>439</v>
      </c>
      <c r="E68" s="207" t="s">
        <v>440</v>
      </c>
      <c r="F68" s="207" t="s">
        <v>441</v>
      </c>
      <c r="G68" s="207" t="s">
        <v>442</v>
      </c>
      <c r="H68" s="207" t="s">
        <v>443</v>
      </c>
      <c r="I68" s="207" t="str">
        <f>IF(Setup!C73&lt;&gt;"",Setup!C73,Setup!B73)</f>
        <v>Group D Runner Up</v>
      </c>
    </row>
    <row r="69" spans="1:9" x14ac:dyDescent="0.35">
      <c r="A69" s="207">
        <v>68</v>
      </c>
      <c r="B69" s="207" t="str">
        <f>Setup!B74</f>
        <v>Group E Runner Up</v>
      </c>
      <c r="C69" s="207" t="s">
        <v>74</v>
      </c>
      <c r="D69" s="207" t="s">
        <v>444</v>
      </c>
      <c r="E69" s="207" t="s">
        <v>445</v>
      </c>
      <c r="F69" s="207" t="s">
        <v>446</v>
      </c>
      <c r="G69" s="207" t="s">
        <v>447</v>
      </c>
      <c r="H69" s="207" t="s">
        <v>448</v>
      </c>
      <c r="I69" s="207" t="str">
        <f>IF(Setup!C74&lt;&gt;"",Setup!C74,Setup!B74)</f>
        <v>Group E Runner Up</v>
      </c>
    </row>
    <row r="70" spans="1:9" x14ac:dyDescent="0.35">
      <c r="A70" s="207">
        <v>69</v>
      </c>
      <c r="B70" s="207" t="str">
        <f>Setup!B75</f>
        <v>Group F Runner Up</v>
      </c>
      <c r="C70" s="207" t="s">
        <v>75</v>
      </c>
      <c r="D70" s="207" t="s">
        <v>449</v>
      </c>
      <c r="E70" s="207" t="s">
        <v>450</v>
      </c>
      <c r="F70" s="207" t="s">
        <v>451</v>
      </c>
      <c r="G70" s="207" t="s">
        <v>452</v>
      </c>
      <c r="H70" s="207" t="s">
        <v>453</v>
      </c>
      <c r="I70" s="207" t="str">
        <f>IF(Setup!C75&lt;&gt;"",Setup!C75,Setup!B75)</f>
        <v>Group F Runner Up</v>
      </c>
    </row>
    <row r="71" spans="1:9" x14ac:dyDescent="0.35">
      <c r="A71" s="207">
        <v>70</v>
      </c>
      <c r="B71" s="207" t="str">
        <f>Setup!B76</f>
        <v>Group G Runner Up</v>
      </c>
      <c r="C71" s="207" t="s">
        <v>76</v>
      </c>
      <c r="D71" s="207" t="s">
        <v>454</v>
      </c>
      <c r="E71" s="207" t="s">
        <v>455</v>
      </c>
      <c r="F71" s="207" t="s">
        <v>456</v>
      </c>
      <c r="G71" s="207" t="s">
        <v>457</v>
      </c>
      <c r="H71" s="207" t="s">
        <v>458</v>
      </c>
      <c r="I71" s="207" t="str">
        <f>IF(Setup!C76&lt;&gt;"",Setup!C76,Setup!B76)</f>
        <v>Group G Runner Up</v>
      </c>
    </row>
    <row r="72" spans="1:9" x14ac:dyDescent="0.35">
      <c r="A72" s="207">
        <v>71</v>
      </c>
      <c r="B72" s="207" t="str">
        <f>Setup!B77</f>
        <v>Group H Runner Up</v>
      </c>
      <c r="C72" s="207" t="s">
        <v>77</v>
      </c>
      <c r="D72" s="207" t="s">
        <v>459</v>
      </c>
      <c r="E72" s="207" t="s">
        <v>460</v>
      </c>
      <c r="F72" s="207" t="s">
        <v>461</v>
      </c>
      <c r="G72" s="207" t="s">
        <v>462</v>
      </c>
      <c r="H72" s="207" t="s">
        <v>463</v>
      </c>
      <c r="I72" s="207" t="str">
        <f>IF(Setup!C77&lt;&gt;"",Setup!C77,Setup!B77)</f>
        <v>Group H Runner Up</v>
      </c>
    </row>
    <row r="73" spans="1:9" x14ac:dyDescent="0.35">
      <c r="A73" s="207">
        <v>72</v>
      </c>
      <c r="B73" s="207" t="str">
        <f>Setup!B78</f>
        <v>Match 53 Winner</v>
      </c>
      <c r="C73" s="207" t="s">
        <v>78</v>
      </c>
      <c r="D73" s="207" t="s">
        <v>464</v>
      </c>
      <c r="E73" s="207" t="s">
        <v>465</v>
      </c>
      <c r="F73" s="207" t="s">
        <v>466</v>
      </c>
      <c r="G73" s="207" t="s">
        <v>467</v>
      </c>
      <c r="H73" s="207" t="s">
        <v>468</v>
      </c>
      <c r="I73" s="207" t="str">
        <f>IF(Setup!C78&lt;&gt;"",Setup!C78,Setup!B78)</f>
        <v>Match 53 Winner</v>
      </c>
    </row>
    <row r="74" spans="1:9" x14ac:dyDescent="0.35">
      <c r="A74" s="207">
        <v>73</v>
      </c>
      <c r="B74" s="207" t="str">
        <f>Setup!B79</f>
        <v>Match 54 Winner</v>
      </c>
      <c r="C74" s="207" t="s">
        <v>79</v>
      </c>
      <c r="D74" s="207" t="s">
        <v>469</v>
      </c>
      <c r="E74" s="207" t="s">
        <v>470</v>
      </c>
      <c r="F74" s="207" t="s">
        <v>471</v>
      </c>
      <c r="G74" s="207" t="s">
        <v>472</v>
      </c>
      <c r="H74" s="207" t="s">
        <v>473</v>
      </c>
      <c r="I74" s="207" t="str">
        <f>IF(Setup!C79&lt;&gt;"",Setup!C79,Setup!B79)</f>
        <v>Match 54 Winner</v>
      </c>
    </row>
    <row r="75" spans="1:9" x14ac:dyDescent="0.35">
      <c r="A75" s="207">
        <v>74</v>
      </c>
      <c r="B75" s="207" t="str">
        <f>Setup!B80</f>
        <v>Match 55 Winner</v>
      </c>
      <c r="C75" s="207" t="s">
        <v>80</v>
      </c>
      <c r="D75" s="207" t="s">
        <v>474</v>
      </c>
      <c r="E75" s="207" t="s">
        <v>475</v>
      </c>
      <c r="F75" s="207" t="s">
        <v>476</v>
      </c>
      <c r="G75" s="207" t="s">
        <v>477</v>
      </c>
      <c r="H75" s="207" t="s">
        <v>478</v>
      </c>
      <c r="I75" s="207" t="str">
        <f>IF(Setup!C80&lt;&gt;"",Setup!C80,Setup!B80)</f>
        <v>Match 55 Winner</v>
      </c>
    </row>
    <row r="76" spans="1:9" x14ac:dyDescent="0.35">
      <c r="A76" s="207">
        <v>75</v>
      </c>
      <c r="B76" s="207" t="str">
        <f>Setup!B81</f>
        <v>Match 56 Winner</v>
      </c>
      <c r="C76" s="207" t="s">
        <v>81</v>
      </c>
      <c r="D76" s="207" t="s">
        <v>479</v>
      </c>
      <c r="E76" s="207" t="s">
        <v>480</v>
      </c>
      <c r="F76" s="207" t="s">
        <v>481</v>
      </c>
      <c r="G76" s="207" t="s">
        <v>482</v>
      </c>
      <c r="H76" s="207" t="s">
        <v>483</v>
      </c>
      <c r="I76" s="207" t="str">
        <f>IF(Setup!C81&lt;&gt;"",Setup!C81,Setup!B81)</f>
        <v>Match 56 Winner</v>
      </c>
    </row>
    <row r="77" spans="1:9" x14ac:dyDescent="0.35">
      <c r="A77" s="207">
        <v>76</v>
      </c>
      <c r="B77" s="207" t="str">
        <f>Setup!B82</f>
        <v>Match 57 Winner</v>
      </c>
      <c r="C77" s="207" t="s">
        <v>82</v>
      </c>
      <c r="D77" s="207" t="s">
        <v>484</v>
      </c>
      <c r="E77" s="207" t="s">
        <v>485</v>
      </c>
      <c r="F77" s="207" t="s">
        <v>486</v>
      </c>
      <c r="G77" s="207" t="s">
        <v>487</v>
      </c>
      <c r="H77" s="207" t="s">
        <v>488</v>
      </c>
      <c r="I77" s="207" t="str">
        <f>IF(Setup!C82&lt;&gt;"",Setup!C82,Setup!B82)</f>
        <v>Match 57 Winner</v>
      </c>
    </row>
    <row r="78" spans="1:9" x14ac:dyDescent="0.35">
      <c r="A78" s="207">
        <v>77</v>
      </c>
      <c r="B78" s="207" t="str">
        <f>Setup!B83</f>
        <v>Match 58 Winner</v>
      </c>
      <c r="C78" s="207" t="s">
        <v>83</v>
      </c>
      <c r="D78" s="207" t="s">
        <v>489</v>
      </c>
      <c r="E78" s="207" t="s">
        <v>490</v>
      </c>
      <c r="F78" s="207" t="s">
        <v>491</v>
      </c>
      <c r="G78" s="207" t="s">
        <v>492</v>
      </c>
      <c r="H78" s="207" t="s">
        <v>493</v>
      </c>
      <c r="I78" s="207" t="str">
        <f>IF(Setup!C83&lt;&gt;"",Setup!C83,Setup!B83)</f>
        <v>Match 58 Winner</v>
      </c>
    </row>
    <row r="79" spans="1:9" x14ac:dyDescent="0.35">
      <c r="A79" s="207">
        <v>78</v>
      </c>
      <c r="B79" s="207" t="str">
        <f>Setup!B84</f>
        <v>Match 59 Winner</v>
      </c>
      <c r="C79" s="207" t="s">
        <v>84</v>
      </c>
      <c r="D79" s="207" t="s">
        <v>494</v>
      </c>
      <c r="E79" s="207" t="s">
        <v>495</v>
      </c>
      <c r="F79" s="207" t="s">
        <v>496</v>
      </c>
      <c r="G79" s="207" t="s">
        <v>497</v>
      </c>
      <c r="H79" s="207" t="s">
        <v>498</v>
      </c>
      <c r="I79" s="207" t="str">
        <f>IF(Setup!C84&lt;&gt;"",Setup!C84,Setup!B84)</f>
        <v>Match 59 Winner</v>
      </c>
    </row>
    <row r="80" spans="1:9" x14ac:dyDescent="0.35">
      <c r="A80" s="207">
        <v>79</v>
      </c>
      <c r="B80" s="207" t="str">
        <f>Setup!B85</f>
        <v>Match 60 Winner</v>
      </c>
      <c r="C80" s="207" t="s">
        <v>85</v>
      </c>
      <c r="D80" s="207" t="s">
        <v>499</v>
      </c>
      <c r="E80" s="207" t="s">
        <v>500</v>
      </c>
      <c r="F80" s="207" t="s">
        <v>501</v>
      </c>
      <c r="G80" s="207" t="s">
        <v>502</v>
      </c>
      <c r="H80" s="207" t="s">
        <v>503</v>
      </c>
      <c r="I80" s="207" t="str">
        <f>IF(Setup!C85&lt;&gt;"",Setup!C85,Setup!B85)</f>
        <v>Match 60 Winner</v>
      </c>
    </row>
    <row r="81" spans="1:9" x14ac:dyDescent="0.35">
      <c r="A81" s="207">
        <v>80</v>
      </c>
      <c r="B81" s="207" t="str">
        <f>Setup!B86</f>
        <v>Match 61 Winner</v>
      </c>
      <c r="C81" s="207" t="s">
        <v>86</v>
      </c>
      <c r="D81" s="207" t="s">
        <v>504</v>
      </c>
      <c r="E81" s="207" t="s">
        <v>505</v>
      </c>
      <c r="F81" s="207" t="s">
        <v>506</v>
      </c>
      <c r="G81" s="207" t="s">
        <v>507</v>
      </c>
      <c r="H81" s="207" t="s">
        <v>508</v>
      </c>
      <c r="I81" s="207" t="str">
        <f>IF(Setup!C86&lt;&gt;"",Setup!C86,Setup!B86)</f>
        <v>Match 61 Winner</v>
      </c>
    </row>
    <row r="82" spans="1:9" x14ac:dyDescent="0.35">
      <c r="A82" s="207">
        <v>81</v>
      </c>
      <c r="B82" s="207" t="str">
        <f>Setup!B87</f>
        <v>Match 62 Winner</v>
      </c>
      <c r="C82" s="207" t="s">
        <v>87</v>
      </c>
      <c r="D82" s="207" t="s">
        <v>509</v>
      </c>
      <c r="E82" s="207" t="s">
        <v>510</v>
      </c>
      <c r="F82" s="207" t="s">
        <v>511</v>
      </c>
      <c r="G82" s="207" t="s">
        <v>512</v>
      </c>
      <c r="H82" s="207" t="s">
        <v>513</v>
      </c>
      <c r="I82" s="207" t="str">
        <f>IF(Setup!C87&lt;&gt;"",Setup!C87,Setup!B87)</f>
        <v>Match 62 Winner</v>
      </c>
    </row>
    <row r="83" spans="1:9" x14ac:dyDescent="0.35">
      <c r="A83" s="207">
        <v>82</v>
      </c>
      <c r="B83" s="207" t="str">
        <f>Setup!B88</f>
        <v>Match 63 Winner</v>
      </c>
      <c r="C83" s="207" t="s">
        <v>88</v>
      </c>
      <c r="D83" s="207" t="s">
        <v>514</v>
      </c>
      <c r="E83" s="207" t="s">
        <v>515</v>
      </c>
      <c r="F83" s="207" t="s">
        <v>516</v>
      </c>
      <c r="G83" s="207" t="s">
        <v>517</v>
      </c>
      <c r="H83" s="207" t="s">
        <v>518</v>
      </c>
      <c r="I83" s="207" t="str">
        <f>IF(Setup!C88&lt;&gt;"",Setup!C88,Setup!B88)</f>
        <v>Match 63 Winner</v>
      </c>
    </row>
    <row r="84" spans="1:9" x14ac:dyDescent="0.35">
      <c r="A84" s="207">
        <v>83</v>
      </c>
      <c r="B84" s="207" t="str">
        <f>Setup!B89</f>
        <v>Match 64 Winner</v>
      </c>
      <c r="C84" s="207" t="s">
        <v>89</v>
      </c>
      <c r="D84" s="207" t="s">
        <v>519</v>
      </c>
      <c r="E84" s="207" t="s">
        <v>520</v>
      </c>
      <c r="F84" s="207" t="s">
        <v>521</v>
      </c>
      <c r="G84" s="207" t="s">
        <v>522</v>
      </c>
      <c r="H84" s="207" t="s">
        <v>523</v>
      </c>
      <c r="I84" s="207" t="str">
        <f>IF(Setup!C89&lt;&gt;"",Setup!C89,Setup!B89)</f>
        <v>Match 64 Winner</v>
      </c>
    </row>
    <row r="85" spans="1:9" x14ac:dyDescent="0.35">
      <c r="A85" s="207">
        <v>84</v>
      </c>
      <c r="B85" s="207" t="str">
        <f>Setup!B90</f>
        <v>Played</v>
      </c>
      <c r="C85" s="207" t="s">
        <v>90</v>
      </c>
      <c r="D85" s="207" t="s">
        <v>524</v>
      </c>
      <c r="E85" s="207" t="s">
        <v>312</v>
      </c>
      <c r="F85" s="207" t="s">
        <v>525</v>
      </c>
      <c r="G85" s="207" t="s">
        <v>314</v>
      </c>
      <c r="H85" s="207" t="s">
        <v>526</v>
      </c>
      <c r="I85" s="207" t="str">
        <f>IF(Setup!C90&lt;&gt;"",Setup!C90,Setup!B90)</f>
        <v>Played</v>
      </c>
    </row>
    <row r="86" spans="1:9" x14ac:dyDescent="0.35">
      <c r="A86" s="207">
        <v>85</v>
      </c>
      <c r="B86" s="207" t="str">
        <f>Setup!B91</f>
        <v>Win</v>
      </c>
      <c r="C86" s="207" t="s">
        <v>91</v>
      </c>
      <c r="D86" s="207" t="s">
        <v>527</v>
      </c>
      <c r="E86" s="207" t="s">
        <v>528</v>
      </c>
      <c r="F86" s="207" t="s">
        <v>529</v>
      </c>
      <c r="G86" s="207" t="s">
        <v>530</v>
      </c>
      <c r="H86" s="207" t="s">
        <v>531</v>
      </c>
      <c r="I86" s="207" t="str">
        <f>IF(Setup!C91&lt;&gt;"",Setup!C91,Setup!B91)</f>
        <v>Win</v>
      </c>
    </row>
    <row r="87" spans="1:9" x14ac:dyDescent="0.35">
      <c r="A87" s="207">
        <v>86</v>
      </c>
      <c r="B87" s="207" t="str">
        <f>Setup!B92</f>
        <v>Draw</v>
      </c>
      <c r="C87" s="207" t="s">
        <v>92</v>
      </c>
      <c r="D87" s="207" t="s">
        <v>532</v>
      </c>
      <c r="E87" s="207" t="s">
        <v>533</v>
      </c>
      <c r="F87" s="207" t="s">
        <v>534</v>
      </c>
      <c r="G87" s="207" t="s">
        <v>535</v>
      </c>
      <c r="H87" s="207" t="s">
        <v>536</v>
      </c>
      <c r="I87" s="207" t="str">
        <f>IF(Setup!C92&lt;&gt;"",Setup!C92,Setup!B92)</f>
        <v>Draw</v>
      </c>
    </row>
    <row r="88" spans="1:9" x14ac:dyDescent="0.35">
      <c r="A88" s="207">
        <v>87</v>
      </c>
      <c r="B88" s="207" t="str">
        <f>Setup!B93</f>
        <v>Lose</v>
      </c>
      <c r="C88" s="207" t="s">
        <v>93</v>
      </c>
      <c r="D88" s="207" t="s">
        <v>537</v>
      </c>
      <c r="E88" s="207" t="s">
        <v>538</v>
      </c>
      <c r="F88" s="207" t="s">
        <v>539</v>
      </c>
      <c r="G88" s="207" t="s">
        <v>540</v>
      </c>
      <c r="H88" s="207" t="s">
        <v>541</v>
      </c>
      <c r="I88" s="207" t="str">
        <f>IF(Setup!C93&lt;&gt;"",Setup!C93,Setup!B93)</f>
        <v>Lose</v>
      </c>
    </row>
    <row r="89" spans="1:9" x14ac:dyDescent="0.35">
      <c r="A89" s="207">
        <v>88</v>
      </c>
      <c r="B89" s="207" t="str">
        <f>Setup!B94</f>
        <v>Goal scored for</v>
      </c>
      <c r="C89" s="207" t="s">
        <v>94</v>
      </c>
      <c r="D89" s="207" t="s">
        <v>542</v>
      </c>
      <c r="E89" s="207" t="s">
        <v>543</v>
      </c>
      <c r="F89" s="207" t="s">
        <v>544</v>
      </c>
      <c r="G89" s="207" t="s">
        <v>545</v>
      </c>
      <c r="H89" s="207" t="s">
        <v>546</v>
      </c>
      <c r="I89" s="207" t="str">
        <f>IF(Setup!C94&lt;&gt;"",Setup!C94,Setup!B94)</f>
        <v>Goal scored for</v>
      </c>
    </row>
    <row r="90" spans="1:9" x14ac:dyDescent="0.35">
      <c r="A90" s="207">
        <v>89</v>
      </c>
      <c r="B90" s="207" t="str">
        <f>Setup!B95</f>
        <v>Goal scored against</v>
      </c>
      <c r="C90" s="207" t="s">
        <v>95</v>
      </c>
      <c r="D90" s="207" t="s">
        <v>547</v>
      </c>
      <c r="E90" s="207" t="s">
        <v>548</v>
      </c>
      <c r="F90" s="207" t="s">
        <v>549</v>
      </c>
      <c r="G90" s="207" t="s">
        <v>550</v>
      </c>
      <c r="H90" s="207" t="s">
        <v>551</v>
      </c>
      <c r="I90" s="207" t="str">
        <f>IF(Setup!C95&lt;&gt;"",Setup!C95,Setup!B95)</f>
        <v>Goal scored against</v>
      </c>
    </row>
    <row r="91" spans="1:9" x14ac:dyDescent="0.35">
      <c r="A91" s="207">
        <v>90</v>
      </c>
      <c r="B91" s="207" t="str">
        <f>Setup!B96</f>
        <v>Point</v>
      </c>
      <c r="C91" s="207" t="s">
        <v>96</v>
      </c>
      <c r="D91" s="207" t="s">
        <v>96</v>
      </c>
      <c r="E91" s="207" t="s">
        <v>552</v>
      </c>
      <c r="F91" s="207" t="s">
        <v>553</v>
      </c>
      <c r="G91" s="207" t="s">
        <v>554</v>
      </c>
      <c r="H91" s="207" t="s">
        <v>555</v>
      </c>
      <c r="I91" s="207" t="str">
        <f>IF(Setup!C96&lt;&gt;"",Setup!C96,Setup!B96)</f>
        <v>Point</v>
      </c>
    </row>
    <row r="92" spans="1:9" x14ac:dyDescent="0.35">
      <c r="A92" s="207">
        <v>91</v>
      </c>
      <c r="B92" s="207" t="str">
        <f>Setup!B97</f>
        <v>Second place</v>
      </c>
      <c r="C92" s="207" t="s">
        <v>97</v>
      </c>
      <c r="D92" s="207" t="s">
        <v>556</v>
      </c>
      <c r="E92" s="207" t="s">
        <v>557</v>
      </c>
      <c r="F92" s="207" t="s">
        <v>558</v>
      </c>
      <c r="G92" s="207" t="s">
        <v>559</v>
      </c>
      <c r="H92" s="207" t="s">
        <v>560</v>
      </c>
      <c r="I92" s="207" t="str">
        <f>IF(Setup!C97&lt;&gt;"",Setup!C97,Setup!B97)</f>
        <v>Second place</v>
      </c>
    </row>
    <row r="93" spans="1:9" x14ac:dyDescent="0.35">
      <c r="A93" s="207">
        <v>92</v>
      </c>
      <c r="B93" s="207" t="str">
        <f>Setup!B98</f>
        <v>Group A</v>
      </c>
      <c r="C93" s="207" t="s">
        <v>98</v>
      </c>
      <c r="D93" s="207" t="s">
        <v>561</v>
      </c>
      <c r="E93" s="207" t="s">
        <v>562</v>
      </c>
      <c r="F93" s="207" t="s">
        <v>563</v>
      </c>
      <c r="G93" s="207" t="s">
        <v>564</v>
      </c>
      <c r="H93" s="207" t="s">
        <v>564</v>
      </c>
      <c r="I93" s="207" t="str">
        <f>IF(Setup!C98&lt;&gt;"",Setup!C98,Setup!B98)</f>
        <v>Group A</v>
      </c>
    </row>
    <row r="94" spans="1:9" x14ac:dyDescent="0.35">
      <c r="A94" s="207">
        <v>93</v>
      </c>
      <c r="B94" s="207" t="str">
        <f>Setup!B99</f>
        <v>Group B</v>
      </c>
      <c r="C94" s="207" t="s">
        <v>99</v>
      </c>
      <c r="D94" s="207" t="s">
        <v>565</v>
      </c>
      <c r="E94" s="207" t="s">
        <v>566</v>
      </c>
      <c r="F94" s="207" t="s">
        <v>567</v>
      </c>
      <c r="G94" s="207" t="s">
        <v>568</v>
      </c>
      <c r="H94" s="207" t="s">
        <v>568</v>
      </c>
      <c r="I94" s="207" t="str">
        <f>IF(Setup!C99&lt;&gt;"",Setup!C99,Setup!B99)</f>
        <v>Group B</v>
      </c>
    </row>
    <row r="95" spans="1:9" x14ac:dyDescent="0.35">
      <c r="A95" s="207">
        <v>94</v>
      </c>
      <c r="B95" s="207" t="str">
        <f>Setup!B100</f>
        <v>Group C</v>
      </c>
      <c r="C95" s="207" t="s">
        <v>100</v>
      </c>
      <c r="D95" s="207" t="s">
        <v>569</v>
      </c>
      <c r="E95" s="207" t="s">
        <v>570</v>
      </c>
      <c r="F95" s="207" t="s">
        <v>571</v>
      </c>
      <c r="G95" s="207" t="s">
        <v>572</v>
      </c>
      <c r="H95" s="207" t="s">
        <v>572</v>
      </c>
      <c r="I95" s="207" t="str">
        <f>IF(Setup!C100&lt;&gt;"",Setup!C100,Setup!B100)</f>
        <v>Group C</v>
      </c>
    </row>
    <row r="96" spans="1:9" x14ac:dyDescent="0.35">
      <c r="A96" s="207">
        <v>95</v>
      </c>
      <c r="B96" s="207" t="str">
        <f>Setup!B101</f>
        <v>Group D</v>
      </c>
      <c r="C96" s="207" t="s">
        <v>101</v>
      </c>
      <c r="D96" s="207" t="s">
        <v>573</v>
      </c>
      <c r="E96" s="207" t="s">
        <v>574</v>
      </c>
      <c r="F96" s="207" t="s">
        <v>575</v>
      </c>
      <c r="G96" s="207" t="s">
        <v>576</v>
      </c>
      <c r="H96" s="207" t="s">
        <v>576</v>
      </c>
      <c r="I96" s="207" t="str">
        <f>IF(Setup!C101&lt;&gt;"",Setup!C101,Setup!B101)</f>
        <v>Group D</v>
      </c>
    </row>
    <row r="97" spans="1:9" x14ac:dyDescent="0.35">
      <c r="A97" s="207">
        <v>96</v>
      </c>
      <c r="B97" s="207" t="str">
        <f>Setup!B102</f>
        <v>Group E</v>
      </c>
      <c r="C97" s="207" t="s">
        <v>102</v>
      </c>
      <c r="D97" s="207" t="s">
        <v>577</v>
      </c>
      <c r="E97" s="207" t="s">
        <v>578</v>
      </c>
      <c r="F97" s="207" t="s">
        <v>579</v>
      </c>
      <c r="G97" s="207" t="s">
        <v>580</v>
      </c>
      <c r="H97" s="207" t="s">
        <v>580</v>
      </c>
      <c r="I97" s="207" t="str">
        <f>IF(Setup!C102&lt;&gt;"",Setup!C102,Setup!B102)</f>
        <v>Group E</v>
      </c>
    </row>
    <row r="98" spans="1:9" x14ac:dyDescent="0.35">
      <c r="A98" s="207">
        <v>97</v>
      </c>
      <c r="B98" s="207" t="str">
        <f>Setup!B103</f>
        <v>Group F</v>
      </c>
      <c r="C98" s="207" t="s">
        <v>103</v>
      </c>
      <c r="D98" s="207" t="s">
        <v>581</v>
      </c>
      <c r="E98" s="207" t="s">
        <v>582</v>
      </c>
      <c r="F98" s="207" t="s">
        <v>583</v>
      </c>
      <c r="G98" s="207" t="s">
        <v>584</v>
      </c>
      <c r="H98" s="207" t="s">
        <v>584</v>
      </c>
      <c r="I98" s="207" t="str">
        <f>IF(Setup!C103&lt;&gt;"",Setup!C103,Setup!B103)</f>
        <v>Group F</v>
      </c>
    </row>
    <row r="99" spans="1:9" x14ac:dyDescent="0.35">
      <c r="A99" s="207">
        <v>98</v>
      </c>
      <c r="B99" s="207" t="str">
        <f>Setup!B104</f>
        <v>Group G</v>
      </c>
      <c r="C99" s="207" t="s">
        <v>104</v>
      </c>
      <c r="D99" s="207" t="s">
        <v>585</v>
      </c>
      <c r="E99" s="207" t="s">
        <v>586</v>
      </c>
      <c r="F99" s="207" t="s">
        <v>587</v>
      </c>
      <c r="G99" s="207" t="s">
        <v>588</v>
      </c>
      <c r="H99" s="207" t="s">
        <v>588</v>
      </c>
      <c r="I99" s="207" t="str">
        <f>IF(Setup!C104&lt;&gt;"",Setup!C104,Setup!B104)</f>
        <v>Group G</v>
      </c>
    </row>
    <row r="100" spans="1:9" x14ac:dyDescent="0.35">
      <c r="A100" s="207">
        <v>99</v>
      </c>
      <c r="B100" s="207" t="str">
        <f>Setup!B105</f>
        <v>Group H</v>
      </c>
      <c r="C100" s="207" t="s">
        <v>105</v>
      </c>
      <c r="D100" s="207" t="s">
        <v>589</v>
      </c>
      <c r="E100" s="207" t="s">
        <v>590</v>
      </c>
      <c r="F100" s="207" t="s">
        <v>591</v>
      </c>
      <c r="G100" s="207" t="s">
        <v>592</v>
      </c>
      <c r="H100" s="207" t="s">
        <v>592</v>
      </c>
      <c r="I100" s="207" t="str">
        <f>IF(Setup!C105&lt;&gt;"",Setup!C105,Setup!B105)</f>
        <v>Group H</v>
      </c>
    </row>
    <row r="101" spans="1:9" x14ac:dyDescent="0.35">
      <c r="A101" s="207">
        <v>100</v>
      </c>
      <c r="B101" s="207" t="str">
        <f>Setup!B106</f>
        <v>Match 49 Winner</v>
      </c>
      <c r="C101" s="207" t="s">
        <v>106</v>
      </c>
      <c r="D101" s="207" t="s">
        <v>593</v>
      </c>
      <c r="E101" s="207" t="s">
        <v>594</v>
      </c>
      <c r="F101" s="207" t="s">
        <v>595</v>
      </c>
      <c r="G101" s="207" t="s">
        <v>596</v>
      </c>
      <c r="H101" s="207" t="s">
        <v>597</v>
      </c>
      <c r="I101" s="207" t="str">
        <f>IF(Setup!C106&lt;&gt;"",Setup!C106,Setup!B106)</f>
        <v>Match 49 Winner</v>
      </c>
    </row>
    <row r="102" spans="1:9" x14ac:dyDescent="0.35">
      <c r="A102" s="207">
        <v>101</v>
      </c>
      <c r="B102" s="207" t="str">
        <f>Setup!B107</f>
        <v>Match 50 Winner</v>
      </c>
      <c r="C102" s="207" t="s">
        <v>107</v>
      </c>
      <c r="D102" s="207" t="s">
        <v>598</v>
      </c>
      <c r="E102" s="207" t="s">
        <v>599</v>
      </c>
      <c r="F102" s="207" t="s">
        <v>600</v>
      </c>
      <c r="G102" s="207" t="s">
        <v>601</v>
      </c>
      <c r="H102" s="207" t="s">
        <v>602</v>
      </c>
      <c r="I102" s="207" t="str">
        <f>IF(Setup!C107&lt;&gt;"",Setup!C107,Setup!B107)</f>
        <v>Match 50 Winner</v>
      </c>
    </row>
    <row r="103" spans="1:9" x14ac:dyDescent="0.35">
      <c r="A103" s="207">
        <v>102</v>
      </c>
      <c r="B103" s="207" t="str">
        <f>Setup!B108</f>
        <v>Match 51 Winner</v>
      </c>
      <c r="C103" s="207" t="s">
        <v>108</v>
      </c>
      <c r="D103" s="207" t="s">
        <v>603</v>
      </c>
      <c r="E103" s="207" t="s">
        <v>604</v>
      </c>
      <c r="F103" s="207" t="s">
        <v>605</v>
      </c>
      <c r="G103" s="207" t="s">
        <v>606</v>
      </c>
      <c r="H103" s="207" t="s">
        <v>607</v>
      </c>
      <c r="I103" s="207" t="str">
        <f>IF(Setup!C108&lt;&gt;"",Setup!C108,Setup!B108)</f>
        <v>Match 51 Winner</v>
      </c>
    </row>
    <row r="104" spans="1:9" x14ac:dyDescent="0.35">
      <c r="A104" s="207">
        <v>103</v>
      </c>
      <c r="B104" s="207" t="str">
        <f>Setup!B109</f>
        <v>Match 52 Winner</v>
      </c>
      <c r="C104" s="207" t="s">
        <v>109</v>
      </c>
      <c r="D104" s="207" t="s">
        <v>608</v>
      </c>
      <c r="E104" s="207" t="s">
        <v>609</v>
      </c>
      <c r="F104" s="207" t="s">
        <v>610</v>
      </c>
      <c r="G104" s="207" t="s">
        <v>611</v>
      </c>
      <c r="H104" s="207" t="s">
        <v>612</v>
      </c>
      <c r="I104" s="207" t="str">
        <f>IF(Setup!C109&lt;&gt;"",Setup!C109,Setup!B109)</f>
        <v>Match 52 Winner</v>
      </c>
    </row>
    <row r="105" spans="1:9" x14ac:dyDescent="0.35">
      <c r="A105" s="207">
        <v>104</v>
      </c>
      <c r="B105" s="207" t="str">
        <f>Setup!B110</f>
        <v>Match 61 Loser</v>
      </c>
      <c r="C105" s="207" t="s">
        <v>110</v>
      </c>
      <c r="D105" s="207" t="s">
        <v>613</v>
      </c>
      <c r="E105" s="207" t="s">
        <v>614</v>
      </c>
      <c r="F105" s="207" t="s">
        <v>615</v>
      </c>
      <c r="G105" s="207" t="s">
        <v>616</v>
      </c>
      <c r="H105" s="207" t="s">
        <v>617</v>
      </c>
      <c r="I105" s="207" t="str">
        <f>IF(Setup!C110&lt;&gt;"",Setup!C110,Setup!B110)</f>
        <v>Match 61 Loser</v>
      </c>
    </row>
    <row r="106" spans="1:9" x14ac:dyDescent="0.35">
      <c r="A106" s="207">
        <v>105</v>
      </c>
      <c r="B106" s="207" t="str">
        <f>Setup!B111</f>
        <v>Match 62 Loser</v>
      </c>
      <c r="C106" s="207" t="s">
        <v>111</v>
      </c>
      <c r="D106" s="207" t="s">
        <v>618</v>
      </c>
      <c r="E106" s="207" t="s">
        <v>619</v>
      </c>
      <c r="F106" s="207" t="s">
        <v>620</v>
      </c>
      <c r="G106" s="207" t="s">
        <v>621</v>
      </c>
      <c r="H106" s="207" t="s">
        <v>622</v>
      </c>
      <c r="I106" s="207" t="str">
        <f>IF(Setup!C111&lt;&gt;"",Setup!C111,Setup!B111)</f>
        <v>Match 62 Loser</v>
      </c>
    </row>
    <row r="107" spans="1:9" x14ac:dyDescent="0.35">
      <c r="A107" s="207">
        <v>106</v>
      </c>
      <c r="B107" s="207" t="str">
        <f>Setup!B112</f>
        <v>Venue</v>
      </c>
      <c r="C107" s="207" t="s">
        <v>112</v>
      </c>
      <c r="D107" s="207" t="s">
        <v>623</v>
      </c>
      <c r="E107" s="207" t="s">
        <v>624</v>
      </c>
      <c r="F107" s="207" t="s">
        <v>625</v>
      </c>
      <c r="G107" s="207" t="s">
        <v>626</v>
      </c>
      <c r="H107" s="207" t="s">
        <v>627</v>
      </c>
      <c r="I107" s="207" t="str">
        <f>IF(Setup!C112&lt;&gt;"",Setup!C112,Setup!B112)</f>
        <v>Venue</v>
      </c>
    </row>
    <row r="108" spans="1:9" x14ac:dyDescent="0.35">
      <c r="A108" s="207">
        <v>107</v>
      </c>
      <c r="B108" s="207" t="str">
        <f>Setup!B113</f>
        <v>World Cup 2022 Fixtures</v>
      </c>
      <c r="C108" s="207" t="s">
        <v>698</v>
      </c>
      <c r="D108" s="207" t="s">
        <v>726</v>
      </c>
      <c r="E108" s="207" t="s">
        <v>721</v>
      </c>
      <c r="F108" s="207" t="s">
        <v>732</v>
      </c>
      <c r="G108" s="207" t="s">
        <v>738</v>
      </c>
      <c r="H108" s="207" t="s">
        <v>744</v>
      </c>
      <c r="I108" s="207" t="str">
        <f>IF(Setup!C113&lt;&gt;"",Setup!C113,Setup!B113)</f>
        <v>World Cup 2022 Fixtures</v>
      </c>
    </row>
    <row r="109" spans="1:9" x14ac:dyDescent="0.35">
      <c r="A109" s="207">
        <v>108</v>
      </c>
      <c r="B109" s="207" t="str">
        <f>Setup!B114</f>
        <v>World Cup 2022 Champion</v>
      </c>
      <c r="C109" s="207" t="s">
        <v>114</v>
      </c>
      <c r="D109" s="207" t="s">
        <v>727</v>
      </c>
      <c r="E109" s="207" t="s">
        <v>628</v>
      </c>
      <c r="F109" s="207" t="s">
        <v>733</v>
      </c>
      <c r="G109" s="207" t="s">
        <v>739</v>
      </c>
      <c r="H109" s="207" t="s">
        <v>629</v>
      </c>
      <c r="I109" s="207" t="str">
        <f>IF(Setup!C114&lt;&gt;"",Setup!C114,Setup!B114)</f>
        <v>World Cup 2022 Champion</v>
      </c>
    </row>
    <row r="110" spans="1:9" x14ac:dyDescent="0.35">
      <c r="A110" s="207">
        <v>109</v>
      </c>
      <c r="B110" s="207" t="str">
        <f>Setup!B115</f>
        <v>World Cup 2022 Runner Up</v>
      </c>
      <c r="C110" s="207" t="s">
        <v>115</v>
      </c>
      <c r="D110" s="207" t="s">
        <v>728</v>
      </c>
      <c r="E110" s="207" t="s">
        <v>722</v>
      </c>
      <c r="F110" s="207" t="s">
        <v>734</v>
      </c>
      <c r="G110" s="207" t="s">
        <v>740</v>
      </c>
      <c r="H110" s="207" t="s">
        <v>745</v>
      </c>
      <c r="I110" s="207" t="str">
        <f>IF(Setup!C115&lt;&gt;"",Setup!C115,Setup!B115)</f>
        <v>World Cup 2022 Runner Up</v>
      </c>
    </row>
    <row r="111" spans="1:9" x14ac:dyDescent="0.35">
      <c r="A111" s="207">
        <v>110</v>
      </c>
      <c r="B111" s="207" t="str">
        <f>Setup!B116</f>
        <v>World Cup 2022 3rd Place</v>
      </c>
      <c r="C111" s="207" t="s">
        <v>116</v>
      </c>
      <c r="D111" s="207" t="s">
        <v>729</v>
      </c>
      <c r="E111" s="207" t="s">
        <v>723</v>
      </c>
      <c r="F111" s="207" t="s">
        <v>735</v>
      </c>
      <c r="G111" s="207" t="s">
        <v>741</v>
      </c>
      <c r="H111" s="207" t="s">
        <v>746</v>
      </c>
      <c r="I111" s="207" t="str">
        <f>IF(Setup!C116&lt;&gt;"",Setup!C116,Setup!B116)</f>
        <v>World Cup 2022 3rd Place</v>
      </c>
    </row>
  </sheetData>
  <sheetProtection password="CBF1" sheet="1" objects="1" scenarios="1" selectLockedCells="1" selectUnlockedCells="1"/>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R12"/>
  <sheetViews>
    <sheetView showGridLines="0" workbookViewId="0">
      <pane ySplit="2" topLeftCell="A3" activePane="bottomLeft" state="frozen"/>
      <selection pane="bottomLeft" activeCell="S13" sqref="S13"/>
    </sheetView>
  </sheetViews>
  <sheetFormatPr defaultRowHeight="12.5" x14ac:dyDescent="0.25"/>
  <cols>
    <col min="1" max="1" width="1.6328125" customWidth="1"/>
  </cols>
  <sheetData>
    <row r="1" spans="2:96" s="163" customFormat="1" ht="5" customHeight="1" x14ac:dyDescent="0.25"/>
    <row r="2" spans="2:96" s="16" customFormat="1" ht="36" x14ac:dyDescent="0.25">
      <c r="B2" s="33" t="s">
        <v>700</v>
      </c>
      <c r="D2" s="13"/>
      <c r="F2" s="15"/>
      <c r="G2" s="15"/>
      <c r="J2" s="15"/>
      <c r="K2" s="17"/>
      <c r="L2" s="17"/>
      <c r="M2" s="17"/>
      <c r="O2" s="18"/>
      <c r="P2" s="18"/>
      <c r="Q2" s="18"/>
      <c r="R2" s="18"/>
      <c r="S2" s="18"/>
      <c r="X2" s="19"/>
      <c r="Y2" s="118"/>
      <c r="CO2" s="24"/>
      <c r="CP2" s="24"/>
      <c r="CQ2" s="24"/>
      <c r="CR2" s="24"/>
    </row>
    <row r="12" spans="2:96" ht="13" x14ac:dyDescent="0.25">
      <c r="G12" s="40" t="s">
        <v>150</v>
      </c>
    </row>
  </sheetData>
  <sheetProtection password="CBF1"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Q15"/>
  <sheetViews>
    <sheetView showGridLines="0" workbookViewId="0">
      <pane ySplit="3" topLeftCell="A4" activePane="bottomLeft" state="frozen"/>
      <selection pane="bottomLeft" activeCell="E9" sqref="E9"/>
    </sheetView>
  </sheetViews>
  <sheetFormatPr defaultRowHeight="13" x14ac:dyDescent="0.3"/>
  <cols>
    <col min="1" max="1" width="1.6328125" customWidth="1"/>
    <col min="2" max="2" width="2.453125" customWidth="1"/>
    <col min="3" max="3" width="12.1796875" customWidth="1"/>
    <col min="4" max="4" width="2.08984375" customWidth="1"/>
    <col min="5" max="5" width="25.6328125" customWidth="1"/>
    <col min="6" max="6" width="20.453125" customWidth="1"/>
    <col min="7" max="7" width="19.26953125" customWidth="1"/>
    <col min="8" max="8" width="2.6328125" customWidth="1"/>
    <col min="9" max="9" width="1.6328125" customWidth="1"/>
    <col min="10" max="12" width="15.6328125" style="178" customWidth="1"/>
  </cols>
  <sheetData>
    <row r="1" spans="2:95" s="1" customFormat="1" ht="5" customHeight="1" x14ac:dyDescent="0.35">
      <c r="D1" s="3"/>
      <c r="E1" s="32"/>
      <c r="F1" s="5"/>
      <c r="Q1" s="6"/>
      <c r="R1" s="6"/>
      <c r="S1" s="6"/>
      <c r="T1" s="6"/>
      <c r="U1" s="6"/>
      <c r="V1" s="6"/>
      <c r="W1" s="7"/>
      <c r="X1" s="7"/>
      <c r="CN1" s="6"/>
      <c r="CO1" s="6"/>
      <c r="CP1" s="6"/>
      <c r="CQ1" s="6"/>
    </row>
    <row r="2" spans="2:95" s="16" customFormat="1" ht="36" x14ac:dyDescent="0.35">
      <c r="B2" s="33" t="s">
        <v>701</v>
      </c>
      <c r="D2" s="13"/>
      <c r="F2" s="15"/>
      <c r="I2" s="15"/>
      <c r="J2" s="88"/>
      <c r="K2" s="88"/>
      <c r="L2" s="88"/>
      <c r="N2" s="18"/>
      <c r="O2" s="18"/>
      <c r="P2" s="18"/>
      <c r="Q2" s="18"/>
      <c r="R2" s="18"/>
      <c r="CN2" s="24"/>
      <c r="CO2" s="24"/>
      <c r="CP2" s="24"/>
      <c r="CQ2" s="24"/>
    </row>
    <row r="3" spans="2:95" ht="5" customHeight="1" thickBot="1" x14ac:dyDescent="0.4">
      <c r="J3" s="176"/>
      <c r="K3" s="176"/>
      <c r="L3" s="176"/>
    </row>
    <row r="4" spans="2:95" ht="15" thickTop="1" x14ac:dyDescent="0.35">
      <c r="B4" s="164"/>
      <c r="C4" s="164"/>
      <c r="D4" s="164"/>
      <c r="E4" s="164"/>
      <c r="F4" s="164"/>
      <c r="G4" s="164"/>
      <c r="H4" s="165"/>
      <c r="J4" s="179"/>
      <c r="K4" s="180"/>
      <c r="L4" s="181"/>
    </row>
    <row r="5" spans="2:95" ht="28.5" x14ac:dyDescent="0.65">
      <c r="B5" s="164"/>
      <c r="C5" s="166" t="s">
        <v>715</v>
      </c>
      <c r="D5" s="164"/>
      <c r="E5" s="167"/>
      <c r="F5" s="168" t="s">
        <v>702</v>
      </c>
      <c r="G5" s="165"/>
      <c r="H5" s="169"/>
      <c r="J5" s="182"/>
      <c r="K5" s="177"/>
      <c r="L5" s="183"/>
    </row>
    <row r="6" spans="2:95" ht="15" customHeight="1" x14ac:dyDescent="0.35">
      <c r="B6" s="164"/>
      <c r="C6" s="164"/>
      <c r="D6" s="164"/>
      <c r="E6" s="167"/>
      <c r="F6" s="171" t="s">
        <v>719</v>
      </c>
      <c r="G6" s="172"/>
      <c r="H6" s="169"/>
      <c r="J6" s="182"/>
      <c r="K6" s="177"/>
      <c r="L6" s="183"/>
    </row>
    <row r="7" spans="2:95" ht="15" customHeight="1" x14ac:dyDescent="0.35">
      <c r="B7" s="164"/>
      <c r="C7" s="164" t="s">
        <v>703</v>
      </c>
      <c r="D7" s="164" t="s">
        <v>180</v>
      </c>
      <c r="E7" s="170" t="s">
        <v>113</v>
      </c>
      <c r="F7" s="171" t="s">
        <v>751</v>
      </c>
      <c r="G7" s="172"/>
      <c r="H7" s="169"/>
      <c r="J7" s="182"/>
      <c r="K7" s="177"/>
      <c r="L7" s="183"/>
    </row>
    <row r="8" spans="2:95" ht="15" customHeight="1" x14ac:dyDescent="0.35">
      <c r="B8" s="164"/>
      <c r="C8" s="164" t="s">
        <v>704</v>
      </c>
      <c r="D8" s="164" t="s">
        <v>180</v>
      </c>
      <c r="E8" s="173" t="s">
        <v>753</v>
      </c>
      <c r="F8" s="276" t="s">
        <v>752</v>
      </c>
      <c r="G8" s="276"/>
      <c r="H8" s="169"/>
      <c r="J8" s="182"/>
      <c r="K8" s="177"/>
      <c r="L8" s="183"/>
    </row>
    <row r="9" spans="2:95" ht="15" customHeight="1" x14ac:dyDescent="0.35">
      <c r="B9" s="164"/>
      <c r="C9" s="164" t="s">
        <v>705</v>
      </c>
      <c r="D9" s="164" t="s">
        <v>180</v>
      </c>
      <c r="E9" s="170" t="s">
        <v>706</v>
      </c>
      <c r="F9" s="276"/>
      <c r="G9" s="276"/>
      <c r="H9" s="169"/>
      <c r="J9" s="182"/>
      <c r="K9" s="177"/>
      <c r="L9" s="183"/>
    </row>
    <row r="10" spans="2:95" ht="15" customHeight="1" x14ac:dyDescent="0.35">
      <c r="B10" s="164"/>
      <c r="C10" s="164" t="s">
        <v>708</v>
      </c>
      <c r="D10" s="164" t="s">
        <v>180</v>
      </c>
      <c r="E10" s="174" t="s">
        <v>709</v>
      </c>
      <c r="F10" s="275" t="s">
        <v>707</v>
      </c>
      <c r="G10" s="275"/>
      <c r="H10" s="169"/>
      <c r="J10" s="182"/>
      <c r="K10" s="177"/>
      <c r="L10" s="183"/>
    </row>
    <row r="11" spans="2:95" ht="15" customHeight="1" x14ac:dyDescent="0.35">
      <c r="B11" s="164"/>
      <c r="C11" s="164" t="s">
        <v>710</v>
      </c>
      <c r="D11" s="164" t="s">
        <v>180</v>
      </c>
      <c r="E11" s="174" t="s">
        <v>711</v>
      </c>
      <c r="F11" s="268" t="s">
        <v>712</v>
      </c>
      <c r="G11" s="268"/>
      <c r="H11" s="169"/>
      <c r="J11" s="269" t="s">
        <v>750</v>
      </c>
      <c r="K11" s="270"/>
      <c r="L11" s="271"/>
    </row>
    <row r="12" spans="2:95" ht="15" customHeight="1" x14ac:dyDescent="0.35">
      <c r="B12" s="164"/>
      <c r="C12" s="164" t="s">
        <v>713</v>
      </c>
      <c r="D12" s="164" t="s">
        <v>180</v>
      </c>
      <c r="E12" s="175" t="s">
        <v>714</v>
      </c>
      <c r="F12" s="268"/>
      <c r="G12" s="268"/>
      <c r="H12" s="169"/>
      <c r="J12" s="184"/>
      <c r="K12" s="272" t="s">
        <v>716</v>
      </c>
      <c r="L12" s="185"/>
    </row>
    <row r="13" spans="2:95" ht="15" customHeight="1" thickBot="1" x14ac:dyDescent="0.4">
      <c r="B13" s="164"/>
      <c r="C13" s="164"/>
      <c r="D13" s="164"/>
      <c r="E13" s="164"/>
      <c r="F13" s="164"/>
      <c r="G13" s="165"/>
      <c r="H13" s="169"/>
      <c r="J13" s="186"/>
      <c r="K13" s="273"/>
      <c r="L13" s="187"/>
    </row>
    <row r="14" spans="2:95" ht="13.5" thickTop="1" x14ac:dyDescent="0.3"/>
    <row r="15" spans="2:95" ht="14.5" x14ac:dyDescent="0.35">
      <c r="B15" s="274" t="s">
        <v>720</v>
      </c>
      <c r="C15" s="274"/>
      <c r="D15" s="274"/>
      <c r="E15" s="274"/>
      <c r="F15" s="274"/>
      <c r="G15" s="274"/>
      <c r="H15" s="274"/>
    </row>
  </sheetData>
  <sheetProtection password="CBF1" sheet="1" objects="1" scenarios="1"/>
  <mergeCells count="6">
    <mergeCell ref="F8:G9"/>
    <mergeCell ref="F11:G12"/>
    <mergeCell ref="J11:L11"/>
    <mergeCell ref="K12:K13"/>
    <mergeCell ref="B15:H15"/>
    <mergeCell ref="F10:G10"/>
  </mergeCells>
  <hyperlinks>
    <hyperlink ref="B15:H15" r:id="rId1" display="get more soccer spreadsheets in journalSHEET.com"/>
    <hyperlink ref="E10"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vt:i4>
      </vt:variant>
    </vt:vector>
  </HeadingPairs>
  <TitlesOfParts>
    <vt:vector size="23" baseType="lpstr">
      <vt:lpstr>Setup</vt:lpstr>
      <vt:lpstr>Matches</vt:lpstr>
      <vt:lpstr>Calculator</vt:lpstr>
      <vt:lpstr>Language</vt:lpstr>
      <vt:lpstr>License</vt:lpstr>
      <vt:lpstr>About</vt:lpstr>
      <vt:lpstr>Countries</vt:lpstr>
      <vt:lpstr>GroupA</vt:lpstr>
      <vt:lpstr>GroupB</vt:lpstr>
      <vt:lpstr>GroupC</vt:lpstr>
      <vt:lpstr>GroupD</vt:lpstr>
      <vt:lpstr>GroupE</vt:lpstr>
      <vt:lpstr>GroupF</vt:lpstr>
      <vt:lpstr>GroupG</vt:lpstr>
      <vt:lpstr>GroupH</vt:lpstr>
      <vt:lpstr>LanguageRef</vt:lpstr>
      <vt:lpstr>Matches!Print_Area</vt:lpstr>
      <vt:lpstr>Setup!Print_Area</vt:lpstr>
      <vt:lpstr>Team</vt:lpstr>
      <vt:lpstr>TimeZoneData</vt:lpstr>
      <vt:lpstr>TimeZoneList</vt:lpstr>
      <vt:lpstr>Translation</vt:lpstr>
      <vt:lpstr>TransRef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journalSHEET.com</dc:creator>
  <cp:lastModifiedBy>Admin</cp:lastModifiedBy>
  <cp:lastPrinted>2022-06-16T05:52:49Z</cp:lastPrinted>
  <dcterms:created xsi:type="dcterms:W3CDTF">2022-06-15T04:56:38Z</dcterms:created>
  <dcterms:modified xsi:type="dcterms:W3CDTF">2022-08-13T04:45:23Z</dcterms:modified>
</cp:coreProperties>
</file>