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Agams\FIFA Club WC\schedule\"/>
    </mc:Choice>
  </mc:AlternateContent>
  <xr:revisionPtr revIDLastSave="0" documentId="13_ncr:1_{9A21D171-F5FC-4296-90C8-426F35732D8D}" xr6:coauthVersionLast="47" xr6:coauthVersionMax="47" xr10:uidLastSave="{00000000-0000-0000-0000-000000000000}"/>
  <workbookProtection workbookAlgorithmName="SHA-512" workbookHashValue="bb7lmwkG+Hb2kNH8P3euGudd+3/B9oI9DUUqk+4s41xcvSFLt+Swv7pETKLqUMnG0siaMgcdqhnZzGpB4n/3rA==" workbookSaltValue="qnJ9wCzDiam0zbBrdh22Ng==" workbookSpinCount="100000" lockStructure="1"/>
  <bookViews>
    <workbookView xWindow="-120" yWindow="-120" windowWidth="20730" windowHeight="11760" activeTab="1" xr2:uid="{00000000-000D-0000-FFFF-FFFF00000000}"/>
  </bookViews>
  <sheets>
    <sheet name="Setup" sheetId="1" r:id="rId1"/>
    <sheet name="Matches" sheetId="2" r:id="rId2"/>
    <sheet name="Calculator" sheetId="3" state="hidden" r:id="rId3"/>
    <sheet name="Language" sheetId="4" state="hidden" r:id="rId4"/>
    <sheet name="License" sheetId="5" r:id="rId5"/>
    <sheet name="About" sheetId="6" r:id="rId6"/>
  </sheets>
  <definedNames>
    <definedName name="about">About!$A$1</definedName>
    <definedName name="Countries">Language!$C$1:$J$1</definedName>
    <definedName name="Flag1">INDIRECT(Calculator!$DT$40)</definedName>
    <definedName name="Flag10">INDIRECT(Calculator!$DT$49)</definedName>
    <definedName name="Flag11">INDIRECT(Calculator!$DT$50)</definedName>
    <definedName name="Flag12">INDIRECT(Calculator!$DT$51)</definedName>
    <definedName name="Flag13">INDIRECT(Calculator!$DT$52)</definedName>
    <definedName name="Flag14">INDIRECT(Calculator!$DT$53)</definedName>
    <definedName name="Flag15">INDIRECT(Calculator!$DT$54)</definedName>
    <definedName name="Flag16">INDIRECT(Calculator!$DT$55)</definedName>
    <definedName name="Flag17">INDIRECT(Calculator!$DT$56)</definedName>
    <definedName name="Flag18">INDIRECT(Calculator!$DT$57)</definedName>
    <definedName name="Flag19">INDIRECT(Calculator!$DT$58)</definedName>
    <definedName name="Flag2">INDIRECT(Calculator!$DT$41)</definedName>
    <definedName name="Flag20">INDIRECT(Calculator!$DT$59)</definedName>
    <definedName name="Flag21">INDIRECT(Calculator!$DT$60)</definedName>
    <definedName name="Flag22">INDIRECT(Calculator!$DT$61)</definedName>
    <definedName name="Flag23">INDIRECT(Calculator!$DT$62)</definedName>
    <definedName name="Flag24">INDIRECT(Calculator!$DT$63)</definedName>
    <definedName name="Flag25">INDIRECT(Calculator!$DT$64)</definedName>
    <definedName name="Flag26">INDIRECT(Calculator!$DT$65)</definedName>
    <definedName name="Flag27">INDIRECT(Calculator!$DT$66)</definedName>
    <definedName name="Flag28">INDIRECT(Calculator!$DT$67)</definedName>
    <definedName name="Flag29">INDIRECT(Calculator!$DT$68)</definedName>
    <definedName name="Flag3">INDIRECT(Calculator!$DT$42)</definedName>
    <definedName name="Flag30">INDIRECT(Calculator!$DT$69)</definedName>
    <definedName name="Flag31">INDIRECT(Calculator!$DT$70)</definedName>
    <definedName name="Flag32">INDIRECT(Calculator!$DT$71)</definedName>
    <definedName name="Flag33">INDIRECT(Calculator!$DT$72)</definedName>
    <definedName name="Flag34">INDIRECT(Calculator!$DT$73)</definedName>
    <definedName name="Flag35">INDIRECT(Calculator!$DT$74)</definedName>
    <definedName name="Flag4">INDIRECT(Calculator!$DT$43)</definedName>
    <definedName name="Flag5">INDIRECT(Calculator!$DT$44)</definedName>
    <definedName name="Flag6">INDIRECT(Calculator!$DT$45)</definedName>
    <definedName name="Flag7">INDIRECT(Calculator!$DT$46)</definedName>
    <definedName name="Flag8">INDIRECT(Calculator!$DT$47)</definedName>
    <definedName name="Flag9">INDIRECT(Calculator!$DT$48)</definedName>
    <definedName name="GroupA">Calculator!$EC$7</definedName>
    <definedName name="GroupB">Calculator!$EC$13</definedName>
    <definedName name="GroupC">Calculator!$EC$19</definedName>
    <definedName name="GroupD">Calculator!$EC$25</definedName>
    <definedName name="GroupE">Calculator!$EC$31</definedName>
    <definedName name="GroupF">Calculator!$EC$37</definedName>
    <definedName name="GroupG">Calculator!$EC$43</definedName>
    <definedName name="GroupH">Calculator!$EC$49</definedName>
    <definedName name="LanguageRef">Language!$C$1:$I$1</definedName>
    <definedName name="_xlnm.Print_Area" localSheetId="1">Matches!$B$2:$Z$85</definedName>
    <definedName name="_xlnm.Print_Area" localSheetId="0">Setup!$A$4:$G$114</definedName>
    <definedName name="_xlnm.Print_Titles" localSheetId="1">Matches!$2:$2</definedName>
    <definedName name="Team">Calculator!$DR$7:$DR$38</definedName>
    <definedName name="TimeZoneData">Setup!$C$4</definedName>
    <definedName name="TimeZoneList">Calculator!$DV$7:$DV$56</definedName>
    <definedName name="Translation">Language!$C$3:$I$111</definedName>
    <definedName name="TransRef">Language!$B$3:$B$111</definedName>
  </definedNames>
  <calcPr calcId="181029"/>
</workbook>
</file>

<file path=xl/calcChain.xml><?xml version="1.0" encoding="utf-8"?>
<calcChain xmlns="http://schemas.openxmlformats.org/spreadsheetml/2006/main">
  <c r="BG52" i="3" l="1"/>
  <c r="BG51" i="3"/>
  <c r="BG46" i="3"/>
  <c r="BG45" i="3"/>
  <c r="T64" i="2"/>
  <c r="T57" i="2"/>
  <c r="DP147" i="3"/>
  <c r="DP145" i="3"/>
  <c r="ED38" i="3"/>
  <c r="ED37" i="3"/>
  <c r="ED36" i="3"/>
  <c r="ED35" i="3"/>
  <c r="ED34" i="3"/>
  <c r="ED33" i="3"/>
  <c r="ED32" i="3"/>
  <c r="ED31" i="3"/>
  <c r="ED30" i="3"/>
  <c r="ED29" i="3"/>
  <c r="ED28" i="3"/>
  <c r="ED27" i="3"/>
  <c r="ED26" i="3"/>
  <c r="ED25" i="3"/>
  <c r="ED24" i="3"/>
  <c r="ED23" i="3"/>
  <c r="ED22" i="3"/>
  <c r="ED21" i="3"/>
  <c r="ED20" i="3"/>
  <c r="ED19" i="3"/>
  <c r="ED18" i="3"/>
  <c r="ED17" i="3"/>
  <c r="ED16" i="3"/>
  <c r="ED15" i="3"/>
  <c r="ED14" i="3"/>
  <c r="ED13" i="3"/>
  <c r="ED12" i="3"/>
  <c r="ED11" i="3"/>
  <c r="ED10" i="3"/>
  <c r="ED9" i="3"/>
  <c r="ED8" i="3"/>
  <c r="ED7" i="3"/>
  <c r="P67" i="2"/>
  <c r="T62" i="2"/>
  <c r="T53" i="2"/>
  <c r="K53" i="2"/>
  <c r="G53" i="2"/>
  <c r="C53" i="2"/>
  <c r="S46" i="2"/>
  <c r="S40" i="2"/>
  <c r="S34" i="2"/>
  <c r="S28" i="2"/>
  <c r="S22" i="2"/>
  <c r="M19" i="2"/>
  <c r="H19" i="2"/>
  <c r="M18" i="2"/>
  <c r="H18" i="2"/>
  <c r="M17" i="2"/>
  <c r="H17" i="2"/>
  <c r="S16" i="2"/>
  <c r="M16" i="2"/>
  <c r="H16" i="2"/>
  <c r="M15" i="2"/>
  <c r="H15" i="2"/>
  <c r="M14" i="2"/>
  <c r="H14" i="2"/>
  <c r="M13" i="2"/>
  <c r="H13" i="2"/>
  <c r="M12" i="2"/>
  <c r="H12" i="2"/>
  <c r="M11" i="2"/>
  <c r="H11" i="2"/>
  <c r="S10" i="2"/>
  <c r="M10" i="2"/>
  <c r="H10" i="2"/>
  <c r="M9" i="2"/>
  <c r="H9" i="2"/>
  <c r="M8" i="2"/>
  <c r="H8" i="2"/>
  <c r="M7" i="2"/>
  <c r="H7" i="2"/>
  <c r="M6" i="2"/>
  <c r="H6" i="2"/>
  <c r="M5" i="2"/>
  <c r="H5" i="2"/>
  <c r="S4" i="2"/>
  <c r="M4" i="2"/>
  <c r="H4" i="2"/>
  <c r="S3" i="2"/>
  <c r="CX7" i="3"/>
  <c r="CZ2" i="3"/>
  <c r="DB49" i="3" s="1"/>
  <c r="Q2" i="2"/>
  <c r="DZ49" i="3"/>
  <c r="DZ39" i="3"/>
  <c r="DZ32" i="3"/>
  <c r="DZ25" i="3"/>
  <c r="DZ16" i="3"/>
  <c r="DZ11" i="3"/>
  <c r="DZ53" i="3"/>
  <c r="DZ29" i="3"/>
  <c r="DZ43" i="3"/>
  <c r="DZ50" i="3"/>
  <c r="DZ40" i="3"/>
  <c r="DZ34" i="3"/>
  <c r="DZ26" i="3"/>
  <c r="DZ18" i="3"/>
  <c r="DZ9" i="3"/>
  <c r="DA4" i="3" l="1"/>
  <c r="DA9" i="3"/>
  <c r="DA13" i="3"/>
  <c r="DA17" i="3"/>
  <c r="DD17" i="3" s="1"/>
  <c r="DA21" i="3"/>
  <c r="DA25" i="3"/>
  <c r="DA29" i="3"/>
  <c r="DB38" i="3"/>
  <c r="DB4" i="3"/>
  <c r="DA20" i="3"/>
  <c r="DA36" i="3"/>
  <c r="DB50" i="3"/>
  <c r="DA8" i="3"/>
  <c r="DA12" i="3"/>
  <c r="DA16" i="3"/>
  <c r="DB21" i="3"/>
  <c r="DD21" i="3" s="1"/>
  <c r="DB25" i="3"/>
  <c r="DB29" i="3"/>
  <c r="DB33" i="3"/>
  <c r="DB37" i="3"/>
  <c r="DB42" i="3"/>
  <c r="DB48" i="3"/>
  <c r="DA3" i="3"/>
  <c r="DA5" i="3"/>
  <c r="DD5" i="3" s="1"/>
  <c r="DA7" i="3"/>
  <c r="DB8" i="3"/>
  <c r="DA11" i="3"/>
  <c r="DB12" i="3"/>
  <c r="DD12" i="3" s="1"/>
  <c r="DA15" i="3"/>
  <c r="DB16" i="3"/>
  <c r="DA19" i="3"/>
  <c r="DB20" i="3"/>
  <c r="DD20" i="3" s="1"/>
  <c r="DA23" i="3"/>
  <c r="DB24" i="3"/>
  <c r="DA27" i="3"/>
  <c r="DB28" i="3"/>
  <c r="DA31" i="3"/>
  <c r="DB32" i="3"/>
  <c r="DA35" i="3"/>
  <c r="DB36" i="3"/>
  <c r="DD36" i="3" s="1"/>
  <c r="DA39" i="3"/>
  <c r="DA41" i="3"/>
  <c r="DA43" i="3"/>
  <c r="DA45" i="3"/>
  <c r="DD45" i="3" s="1"/>
  <c r="DA47" i="3"/>
  <c r="DA49" i="3"/>
  <c r="DA6" i="3"/>
  <c r="DB10" i="3"/>
  <c r="DB14" i="3"/>
  <c r="DB18" i="3"/>
  <c r="DB22" i="3"/>
  <c r="DB26" i="3"/>
  <c r="DB30" i="3"/>
  <c r="DA33" i="3"/>
  <c r="DB34" i="3"/>
  <c r="DA37" i="3"/>
  <c r="DD37" i="3" s="1"/>
  <c r="DA40" i="3"/>
  <c r="DA42" i="3"/>
  <c r="DA44" i="3"/>
  <c r="DA46" i="3"/>
  <c r="DA48" i="3"/>
  <c r="DA50" i="3"/>
  <c r="DB6" i="3"/>
  <c r="DB9" i="3"/>
  <c r="DD9" i="3" s="1"/>
  <c r="DB13" i="3"/>
  <c r="DB17" i="3"/>
  <c r="DA24" i="3"/>
  <c r="DA28" i="3"/>
  <c r="DD28" i="3" s="1"/>
  <c r="DA32" i="3"/>
  <c r="DB40" i="3"/>
  <c r="DB44" i="3"/>
  <c r="DB46" i="3"/>
  <c r="DB3" i="3"/>
  <c r="DB5" i="3"/>
  <c r="DB7" i="3"/>
  <c r="DA10" i="3"/>
  <c r="DB11" i="3"/>
  <c r="DA14" i="3"/>
  <c r="DB15" i="3"/>
  <c r="DA18" i="3"/>
  <c r="DB19" i="3"/>
  <c r="DA22" i="3"/>
  <c r="DB23" i="3"/>
  <c r="DA26" i="3"/>
  <c r="DB27" i="3"/>
  <c r="DA30" i="3"/>
  <c r="DB31" i="3"/>
  <c r="DA34" i="3"/>
  <c r="DB35" i="3"/>
  <c r="DA38" i="3"/>
  <c r="DB39" i="3"/>
  <c r="DB41" i="3"/>
  <c r="DD41" i="3" s="1"/>
  <c r="DB43" i="3"/>
  <c r="DB45" i="3"/>
  <c r="DB47" i="3"/>
  <c r="DN38" i="3"/>
  <c r="DN37" i="3"/>
  <c r="DN36" i="3"/>
  <c r="DN35" i="3"/>
  <c r="DN34" i="3"/>
  <c r="DN33" i="3"/>
  <c r="DN32" i="3"/>
  <c r="DN31" i="3"/>
  <c r="DN30" i="3"/>
  <c r="DN29" i="3"/>
  <c r="DN28" i="3"/>
  <c r="DN27" i="3"/>
  <c r="DN26" i="3"/>
  <c r="DN25" i="3"/>
  <c r="DN24" i="3"/>
  <c r="DN23" i="3"/>
  <c r="DN22" i="3"/>
  <c r="DN21" i="3"/>
  <c r="DN20" i="3"/>
  <c r="DN19" i="3"/>
  <c r="DN18" i="3"/>
  <c r="DN17" i="3"/>
  <c r="DN16" i="3"/>
  <c r="DN15" i="3"/>
  <c r="DN14" i="3"/>
  <c r="DN13" i="3"/>
  <c r="DN12" i="3"/>
  <c r="DN11" i="3"/>
  <c r="DN10" i="3"/>
  <c r="DN9" i="3"/>
  <c r="DN8" i="3"/>
  <c r="DN7" i="3"/>
  <c r="DD50" i="3"/>
  <c r="DD49" i="3"/>
  <c r="DD48" i="3"/>
  <c r="DD47" i="3"/>
  <c r="DD46" i="3"/>
  <c r="DD44" i="3"/>
  <c r="DE44" i="3" s="1"/>
  <c r="DD43" i="3"/>
  <c r="DD42" i="3"/>
  <c r="DD40" i="3"/>
  <c r="DD39" i="3"/>
  <c r="DD38" i="3"/>
  <c r="DD35" i="3"/>
  <c r="DD34" i="3"/>
  <c r="DD33" i="3"/>
  <c r="DD32" i="3"/>
  <c r="DD31" i="3"/>
  <c r="DD30" i="3"/>
  <c r="DD29" i="3"/>
  <c r="DD27" i="3"/>
  <c r="DD26" i="3"/>
  <c r="DD25" i="3"/>
  <c r="DD24" i="3"/>
  <c r="DD23" i="3"/>
  <c r="DD22" i="3"/>
  <c r="DD19" i="3"/>
  <c r="DD18" i="3"/>
  <c r="DD16" i="3"/>
  <c r="DD15" i="3"/>
  <c r="DD14" i="3"/>
  <c r="DD13" i="3"/>
  <c r="DD11" i="3"/>
  <c r="DD10" i="3"/>
  <c r="DD8" i="3"/>
  <c r="DD7" i="3"/>
  <c r="DD6" i="3"/>
  <c r="DD4" i="3"/>
  <c r="DD3" i="3"/>
  <c r="DC18" i="3" l="1"/>
  <c r="CZ18" i="3"/>
  <c r="DC17" i="3"/>
  <c r="DC16" i="3"/>
  <c r="CZ16" i="3"/>
  <c r="DC15" i="3"/>
  <c r="DC14" i="3"/>
  <c r="CZ14" i="3"/>
  <c r="DC13" i="3"/>
  <c r="DC12" i="3"/>
  <c r="CZ12" i="3"/>
  <c r="DC11" i="3"/>
  <c r="DC10" i="3"/>
  <c r="CZ10" i="3"/>
  <c r="DC9" i="3"/>
  <c r="DC8" i="3"/>
  <c r="CZ8" i="3"/>
  <c r="DC7" i="3"/>
  <c r="CZ7" i="3"/>
  <c r="DC6" i="3"/>
  <c r="CZ6" i="3"/>
  <c r="DC5" i="3"/>
  <c r="CZ5" i="3"/>
  <c r="DC4" i="3"/>
  <c r="CZ4" i="3"/>
  <c r="DC3" i="3"/>
  <c r="M44" i="2"/>
  <c r="DC43" i="3" s="1"/>
  <c r="M40" i="2"/>
  <c r="DC39" i="3" s="1"/>
  <c r="M36" i="2"/>
  <c r="DC35" i="3" s="1"/>
  <c r="M24" i="2"/>
  <c r="DC23" i="3" s="1"/>
  <c r="M23" i="2"/>
  <c r="DC22" i="3" s="1"/>
  <c r="H49" i="2"/>
  <c r="CZ48" i="3" s="1"/>
  <c r="M29" i="2"/>
  <c r="DC28" i="3" s="1"/>
  <c r="M28" i="2"/>
  <c r="DC27" i="3" s="1"/>
  <c r="H22" i="2"/>
  <c r="CZ21" i="3" s="1"/>
  <c r="M21" i="2"/>
  <c r="DC20" i="3" s="1"/>
  <c r="M22" i="2"/>
  <c r="DC21" i="3" s="1"/>
  <c r="H38" i="2"/>
  <c r="CZ37" i="3" s="1"/>
  <c r="H51" i="2"/>
  <c r="CZ50" i="3" s="1"/>
  <c r="H50" i="2"/>
  <c r="CZ49" i="3" s="1"/>
  <c r="H48" i="2"/>
  <c r="CZ47" i="3" s="1"/>
  <c r="H45" i="2"/>
  <c r="CZ44" i="3" s="1"/>
  <c r="H44" i="2"/>
  <c r="CZ43" i="3" s="1"/>
  <c r="H41" i="2"/>
  <c r="H40" i="2"/>
  <c r="H37" i="2"/>
  <c r="CZ36" i="3" s="1"/>
  <c r="H34" i="2"/>
  <c r="CZ33" i="3" s="1"/>
  <c r="H32" i="2"/>
  <c r="H28" i="2"/>
  <c r="CZ27" i="3" s="1"/>
  <c r="H26" i="2"/>
  <c r="CZ25" i="3" s="1"/>
  <c r="H24" i="2"/>
  <c r="CZ23" i="3" s="1"/>
  <c r="H21" i="2"/>
  <c r="J52" i="3"/>
  <c r="J51" i="3"/>
  <c r="DE50" i="3"/>
  <c r="J50" i="3"/>
  <c r="EC49" i="3"/>
  <c r="J49" i="3"/>
  <c r="J46" i="3"/>
  <c r="DE45" i="3"/>
  <c r="J45" i="3"/>
  <c r="J44" i="3"/>
  <c r="EC43" i="3"/>
  <c r="J43" i="3"/>
  <c r="DE41" i="3"/>
  <c r="J40" i="3"/>
  <c r="J39" i="3"/>
  <c r="J38" i="3"/>
  <c r="EC37" i="3"/>
  <c r="DE37" i="3"/>
  <c r="J37" i="3"/>
  <c r="J34" i="3"/>
  <c r="J33" i="3"/>
  <c r="J32" i="3"/>
  <c r="EC31" i="3"/>
  <c r="J31" i="3"/>
  <c r="J28" i="3"/>
  <c r="J27" i="3"/>
  <c r="J26" i="3"/>
  <c r="EC25" i="3"/>
  <c r="J25" i="3"/>
  <c r="DE24" i="3"/>
  <c r="J21" i="3"/>
  <c r="J20" i="3"/>
  <c r="EC19" i="3"/>
  <c r="J19" i="3"/>
  <c r="J18" i="3"/>
  <c r="DE17" i="3"/>
  <c r="DE16" i="3"/>
  <c r="J14" i="3"/>
  <c r="EC13" i="3"/>
  <c r="J13" i="3"/>
  <c r="J12" i="3"/>
  <c r="DE11" i="3"/>
  <c r="J11" i="3"/>
  <c r="EC7" i="3"/>
  <c r="DE7" i="3"/>
  <c r="J7" i="3"/>
  <c r="J6" i="3"/>
  <c r="DE5" i="3"/>
  <c r="J5" i="3"/>
  <c r="J4" i="3"/>
  <c r="DE3" i="3"/>
  <c r="DE49" i="3"/>
  <c r="S49" i="3"/>
  <c r="CC52" i="3" s="1"/>
  <c r="S43" i="3"/>
  <c r="CC46" i="3" s="1"/>
  <c r="DE40" i="3"/>
  <c r="S37" i="3"/>
  <c r="CC40" i="3" s="1"/>
  <c r="DE35" i="3"/>
  <c r="S31" i="3"/>
  <c r="CC30" i="3"/>
  <c r="DE27" i="3"/>
  <c r="S25" i="3"/>
  <c r="S18" i="3"/>
  <c r="DE15" i="3"/>
  <c r="DE13" i="3"/>
  <c r="S11" i="3"/>
  <c r="CC14" i="3" s="1"/>
  <c r="DE9" i="3"/>
  <c r="S4" i="3"/>
  <c r="CC7" i="3" s="1"/>
  <c r="CM46" i="3" l="1"/>
  <c r="CL46" i="3"/>
  <c r="CK46" i="3"/>
  <c r="CR40" i="3"/>
  <c r="CM40" i="3"/>
  <c r="CL40" i="3"/>
  <c r="CK40" i="3"/>
  <c r="CP7" i="3"/>
  <c r="CM7" i="3"/>
  <c r="CK7" i="3"/>
  <c r="CL7" i="3"/>
  <c r="CT14" i="3"/>
  <c r="CL14" i="3"/>
  <c r="CM14" i="3"/>
  <c r="CK14" i="3"/>
  <c r="CL52" i="3"/>
  <c r="CK52" i="3"/>
  <c r="CM52" i="3"/>
  <c r="M49" i="2"/>
  <c r="DC48" i="3" s="1"/>
  <c r="H31" i="2"/>
  <c r="CZ30" i="3" s="1"/>
  <c r="DE30" i="3"/>
  <c r="CZ31" i="3"/>
  <c r="M31" i="2"/>
  <c r="DC30" i="3" s="1"/>
  <c r="M46" i="2"/>
  <c r="DC45" i="3" s="1"/>
  <c r="H20" i="2"/>
  <c r="CZ19" i="3" s="1"/>
  <c r="H42" i="2"/>
  <c r="CZ41" i="3" s="1"/>
  <c r="H46" i="2"/>
  <c r="CZ45" i="3" s="1"/>
  <c r="M39" i="2"/>
  <c r="DC38" i="3" s="1"/>
  <c r="CZ3" i="3"/>
  <c r="M27" i="2"/>
  <c r="DC26" i="3" s="1"/>
  <c r="CZ9" i="3"/>
  <c r="DE10" i="3"/>
  <c r="CZ11" i="3"/>
  <c r="DE12" i="3"/>
  <c r="CZ13" i="3"/>
  <c r="H35" i="2"/>
  <c r="CZ34" i="3" s="1"/>
  <c r="CZ15" i="3"/>
  <c r="M50" i="2"/>
  <c r="DC49" i="3" s="1"/>
  <c r="CZ17" i="3"/>
  <c r="DE38" i="3"/>
  <c r="CZ39" i="3"/>
  <c r="H33" i="2"/>
  <c r="CZ32" i="3" s="1"/>
  <c r="DE39" i="3"/>
  <c r="CZ40" i="3"/>
  <c r="M35" i="2"/>
  <c r="DC34" i="3" s="1"/>
  <c r="M41" i="2"/>
  <c r="DC40" i="3" s="1"/>
  <c r="M51" i="2"/>
  <c r="DC50" i="3" s="1"/>
  <c r="H27" i="2"/>
  <c r="CZ26" i="3" s="1"/>
  <c r="M25" i="2"/>
  <c r="DC24" i="3" s="1"/>
  <c r="M42" i="2"/>
  <c r="DC41" i="3" s="1"/>
  <c r="M47" i="2"/>
  <c r="DC46" i="3" s="1"/>
  <c r="H25" i="2"/>
  <c r="CZ24" i="3" s="1"/>
  <c r="DE19" i="3"/>
  <c r="CZ20" i="3"/>
  <c r="H29" i="2"/>
  <c r="CZ28" i="3" s="1"/>
  <c r="H39" i="2"/>
  <c r="CZ38" i="3" s="1"/>
  <c r="H43" i="2"/>
  <c r="CZ42" i="3" s="1"/>
  <c r="H47" i="2"/>
  <c r="CZ46" i="3" s="1"/>
  <c r="M26" i="2"/>
  <c r="DC25" i="3" s="1"/>
  <c r="M34" i="2"/>
  <c r="DC33" i="3" s="1"/>
  <c r="M30" i="2"/>
  <c r="DC29" i="3" s="1"/>
  <c r="M38" i="2"/>
  <c r="DC37" i="3" s="1"/>
  <c r="M43" i="2"/>
  <c r="DC42" i="3" s="1"/>
  <c r="M48" i="2"/>
  <c r="DC47" i="3" s="1"/>
  <c r="DE32" i="3"/>
  <c r="DE48" i="3"/>
  <c r="H30" i="2"/>
  <c r="CZ29" i="3" s="1"/>
  <c r="M37" i="2"/>
  <c r="DC36" i="3" s="1"/>
  <c r="M45" i="2"/>
  <c r="DC44" i="3" s="1"/>
  <c r="DE43" i="3"/>
  <c r="H23" i="2"/>
  <c r="CZ22" i="3" s="1"/>
  <c r="M33" i="2"/>
  <c r="DC32" i="3" s="1"/>
  <c r="DE4" i="3"/>
  <c r="DE8" i="3"/>
  <c r="M20" i="2"/>
  <c r="DC19" i="3" s="1"/>
  <c r="DE36" i="3"/>
  <c r="DE20" i="3"/>
  <c r="H36" i="2"/>
  <c r="CZ35" i="3" s="1"/>
  <c r="DE47" i="3"/>
  <c r="M32" i="2"/>
  <c r="DC31" i="3" s="1"/>
  <c r="CP14" i="3"/>
  <c r="DE25" i="3"/>
  <c r="DE29" i="3"/>
  <c r="DE31" i="3"/>
  <c r="DE23" i="3"/>
  <c r="DE21" i="3"/>
  <c r="DE28" i="3"/>
  <c r="DE33" i="3"/>
  <c r="DE14" i="3"/>
  <c r="DE26" i="3"/>
  <c r="DE42" i="3"/>
  <c r="S5" i="3"/>
  <c r="DE6" i="3"/>
  <c r="DE18" i="3"/>
  <c r="DE22" i="3"/>
  <c r="DE46" i="3"/>
  <c r="CJ40" i="3"/>
  <c r="CN40" i="3" s="1"/>
  <c r="CV7" i="3"/>
  <c r="CR7" i="3"/>
  <c r="CJ7" i="3"/>
  <c r="CN7" i="3" s="1"/>
  <c r="CU7" i="3"/>
  <c r="CQ7" i="3"/>
  <c r="CQ14" i="3"/>
  <c r="CC21" i="3"/>
  <c r="S19" i="3"/>
  <c r="CS7" i="3"/>
  <c r="CT7" i="3"/>
  <c r="CT46" i="3"/>
  <c r="CP46" i="3"/>
  <c r="CS46" i="3"/>
  <c r="CO46" i="3"/>
  <c r="CV46" i="3"/>
  <c r="CR46" i="3"/>
  <c r="CJ46" i="3"/>
  <c r="CN46" i="3" s="1"/>
  <c r="CU46" i="3"/>
  <c r="CQ46" i="3"/>
  <c r="CC28" i="3"/>
  <c r="S26" i="3"/>
  <c r="CO7" i="3"/>
  <c r="CS14" i="3"/>
  <c r="CO14" i="3"/>
  <c r="CV14" i="3"/>
  <c r="CR14" i="3"/>
  <c r="CJ14" i="3"/>
  <c r="CN14" i="3" s="1"/>
  <c r="CU14" i="3"/>
  <c r="S12" i="3"/>
  <c r="CC34" i="3"/>
  <c r="S32" i="3"/>
  <c r="S38" i="3"/>
  <c r="CU40" i="3"/>
  <c r="CQ40" i="3"/>
  <c r="CT40" i="3"/>
  <c r="CP40" i="3"/>
  <c r="CS40" i="3"/>
  <c r="CO40" i="3"/>
  <c r="CV40" i="3"/>
  <c r="S44" i="3"/>
  <c r="CS52" i="3"/>
  <c r="CO52" i="3"/>
  <c r="CV52" i="3"/>
  <c r="CR52" i="3"/>
  <c r="CJ52" i="3"/>
  <c r="CN52" i="3" s="1"/>
  <c r="CU52" i="3"/>
  <c r="CQ52" i="3"/>
  <c r="CP52" i="3"/>
  <c r="S50" i="3"/>
  <c r="CT52" i="3"/>
  <c r="I107" i="4"/>
  <c r="I108" i="4"/>
  <c r="I109" i="4"/>
  <c r="I110" i="4"/>
  <c r="I111" i="4"/>
  <c r="B107" i="4"/>
  <c r="B108" i="4"/>
  <c r="B109" i="4"/>
  <c r="B110" i="4"/>
  <c r="B111" i="4"/>
  <c r="CH46" i="3" l="1"/>
  <c r="CE46" i="3"/>
  <c r="CG46" i="3"/>
  <c r="CL34" i="3"/>
  <c r="CK34" i="3"/>
  <c r="CM34" i="3"/>
  <c r="CH34" i="3"/>
  <c r="CG34" i="3"/>
  <c r="CG7" i="3"/>
  <c r="CG52" i="3"/>
  <c r="CE52" i="3"/>
  <c r="CG14" i="3"/>
  <c r="CE14" i="3"/>
  <c r="CE7" i="3"/>
  <c r="CH28" i="3"/>
  <c r="CM28" i="3"/>
  <c r="CG28" i="3"/>
  <c r="CK28" i="3"/>
  <c r="CE28" i="3"/>
  <c r="CL28" i="3"/>
  <c r="CH52" i="3"/>
  <c r="CH14" i="3"/>
  <c r="CH40" i="3"/>
  <c r="CK21" i="3"/>
  <c r="CE21" i="3"/>
  <c r="CH21" i="3"/>
  <c r="CM21" i="3"/>
  <c r="CL21" i="3"/>
  <c r="CG21" i="3"/>
  <c r="CH7" i="3"/>
  <c r="CE40" i="3"/>
  <c r="CG40" i="3"/>
  <c r="B2" i="2"/>
  <c r="DE34" i="3"/>
  <c r="CD52" i="3" s="1"/>
  <c r="CT21" i="3"/>
  <c r="CP21" i="3"/>
  <c r="CS21" i="3"/>
  <c r="CO21" i="3"/>
  <c r="CV21" i="3"/>
  <c r="CR21" i="3"/>
  <c r="CJ21" i="3"/>
  <c r="CN21" i="3" s="1"/>
  <c r="CU21" i="3"/>
  <c r="CQ21" i="3"/>
  <c r="CS28" i="3"/>
  <c r="CO28" i="3"/>
  <c r="CV29" i="3"/>
  <c r="CV28" i="3"/>
  <c r="CR28" i="3"/>
  <c r="CJ28" i="3"/>
  <c r="CN28" i="3" s="1"/>
  <c r="CQ28" i="3"/>
  <c r="CP28" i="3"/>
  <c r="CU28" i="3"/>
  <c r="CT28" i="3"/>
  <c r="CU34" i="3"/>
  <c r="CQ34" i="3"/>
  <c r="CT34" i="3"/>
  <c r="CP34" i="3"/>
  <c r="CS34" i="3"/>
  <c r="CO34" i="3"/>
  <c r="CJ34" i="3"/>
  <c r="CN34" i="3" s="1"/>
  <c r="CV34" i="3"/>
  <c r="CR34" i="3"/>
  <c r="I106" i="4"/>
  <c r="B106" i="4"/>
  <c r="I105" i="4"/>
  <c r="B105" i="4"/>
  <c r="I104" i="4"/>
  <c r="B104" i="4"/>
  <c r="I103" i="4"/>
  <c r="B103" i="4"/>
  <c r="I102" i="4"/>
  <c r="B102" i="4"/>
  <c r="I101" i="4"/>
  <c r="B101" i="4"/>
  <c r="I100" i="4"/>
  <c r="B100" i="4"/>
  <c r="I99" i="4"/>
  <c r="B99" i="4"/>
  <c r="I98" i="4"/>
  <c r="B98" i="4"/>
  <c r="I97" i="4"/>
  <c r="B97" i="4"/>
  <c r="I96" i="4"/>
  <c r="B96" i="4"/>
  <c r="I95" i="4"/>
  <c r="B95" i="4"/>
  <c r="I94" i="4"/>
  <c r="B94" i="4"/>
  <c r="I93" i="4"/>
  <c r="B93" i="4"/>
  <c r="I92" i="4"/>
  <c r="B92" i="4"/>
  <c r="I91" i="4"/>
  <c r="B91" i="4"/>
  <c r="I90" i="4"/>
  <c r="B90" i="4"/>
  <c r="I89" i="4"/>
  <c r="B89" i="4"/>
  <c r="I88" i="4"/>
  <c r="B88" i="4"/>
  <c r="I87" i="4"/>
  <c r="B87" i="4"/>
  <c r="I86" i="4"/>
  <c r="B86" i="4"/>
  <c r="I85" i="4"/>
  <c r="B85" i="4"/>
  <c r="I84" i="4"/>
  <c r="B84" i="4"/>
  <c r="I83" i="4"/>
  <c r="B83" i="4"/>
  <c r="I82" i="4"/>
  <c r="B82" i="4"/>
  <c r="I81" i="4"/>
  <c r="B81" i="4"/>
  <c r="I80" i="4"/>
  <c r="B80" i="4"/>
  <c r="I79" i="4"/>
  <c r="B79" i="4"/>
  <c r="I78" i="4"/>
  <c r="B78" i="4"/>
  <c r="I77" i="4"/>
  <c r="B77" i="4"/>
  <c r="I76" i="4"/>
  <c r="B76" i="4"/>
  <c r="I75" i="4"/>
  <c r="B75" i="4"/>
  <c r="I74" i="4"/>
  <c r="B74" i="4"/>
  <c r="I73" i="4"/>
  <c r="B73" i="4"/>
  <c r="I72" i="4"/>
  <c r="B72" i="4"/>
  <c r="I71" i="4"/>
  <c r="B71" i="4"/>
  <c r="I70" i="4"/>
  <c r="B70" i="4"/>
  <c r="I69" i="4"/>
  <c r="B69" i="4"/>
  <c r="I68" i="4"/>
  <c r="B68" i="4"/>
  <c r="I67" i="4"/>
  <c r="B67" i="4"/>
  <c r="I66" i="4"/>
  <c r="B66" i="4"/>
  <c r="I65" i="4"/>
  <c r="B65" i="4"/>
  <c r="I64" i="4"/>
  <c r="B64" i="4"/>
  <c r="I63" i="4"/>
  <c r="B63" i="4"/>
  <c r="I62" i="4"/>
  <c r="B62" i="4"/>
  <c r="I61" i="4"/>
  <c r="B61" i="4"/>
  <c r="I60" i="4"/>
  <c r="B60" i="4"/>
  <c r="I59" i="4"/>
  <c r="B59" i="4"/>
  <c r="I58" i="4"/>
  <c r="B58" i="4"/>
  <c r="I57" i="4"/>
  <c r="B57" i="4"/>
  <c r="I56" i="4"/>
  <c r="B56" i="4"/>
  <c r="I55" i="4"/>
  <c r="B55" i="4"/>
  <c r="I54" i="4"/>
  <c r="B54" i="4"/>
  <c r="I53" i="4"/>
  <c r="I52" i="4"/>
  <c r="B52" i="4"/>
  <c r="I51" i="4"/>
  <c r="B51" i="4"/>
  <c r="I50" i="4"/>
  <c r="B50" i="4"/>
  <c r="I49" i="4"/>
  <c r="B49" i="4"/>
  <c r="I48" i="4"/>
  <c r="B48" i="4"/>
  <c r="I47" i="4"/>
  <c r="B47" i="4"/>
  <c r="I46" i="4"/>
  <c r="B46" i="4"/>
  <c r="I45" i="4"/>
  <c r="B45" i="4"/>
  <c r="I44" i="4"/>
  <c r="B44" i="4"/>
  <c r="I43" i="4"/>
  <c r="B43" i="4"/>
  <c r="I42" i="4"/>
  <c r="B42" i="4"/>
  <c r="I41" i="4"/>
  <c r="B41" i="4"/>
  <c r="I40" i="4"/>
  <c r="B40" i="4"/>
  <c r="I39" i="4"/>
  <c r="B39" i="4"/>
  <c r="I38" i="4"/>
  <c r="B38" i="4"/>
  <c r="I37" i="4"/>
  <c r="B37" i="4"/>
  <c r="I36" i="4"/>
  <c r="B36" i="4"/>
  <c r="I35" i="4"/>
  <c r="B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1" i="4"/>
  <c r="EA70" i="3"/>
  <c r="Q68" i="2" s="1"/>
  <c r="DY70" i="3"/>
  <c r="EA69" i="3"/>
  <c r="DY69" i="3"/>
  <c r="EA68" i="3"/>
  <c r="L76" i="2" s="1"/>
  <c r="DY68" i="3"/>
  <c r="EA67" i="3"/>
  <c r="L60" i="2" s="1"/>
  <c r="DY67" i="3"/>
  <c r="EA66" i="3"/>
  <c r="H80" i="2" s="1"/>
  <c r="DY66" i="3"/>
  <c r="EA65" i="3"/>
  <c r="H72" i="2" s="1"/>
  <c r="DY65" i="3"/>
  <c r="EA64" i="3"/>
  <c r="H56" i="2" s="1"/>
  <c r="DY64" i="3"/>
  <c r="EA63" i="3"/>
  <c r="H64" i="2" s="1"/>
  <c r="DY63" i="3"/>
  <c r="EA62" i="3"/>
  <c r="D78" i="2" s="1"/>
  <c r="DY62" i="3"/>
  <c r="EA61" i="3"/>
  <c r="D82" i="2" s="1"/>
  <c r="DY61" i="3"/>
  <c r="EA60" i="3"/>
  <c r="D66" i="2" s="1"/>
  <c r="DY60" i="3"/>
  <c r="EA59" i="3"/>
  <c r="D62" i="2" s="1"/>
  <c r="DY59" i="3"/>
  <c r="EA58" i="3"/>
  <c r="D70" i="2" s="1"/>
  <c r="DY58" i="3"/>
  <c r="EA57" i="3"/>
  <c r="D74" i="2" s="1"/>
  <c r="DY57" i="3"/>
  <c r="EA56" i="3"/>
  <c r="D58" i="2" s="1"/>
  <c r="DY56" i="3"/>
  <c r="EA55" i="3"/>
  <c r="D54" i="2" s="1"/>
  <c r="DY55" i="3"/>
  <c r="EA54" i="3"/>
  <c r="D51" i="2" s="1"/>
  <c r="DY54" i="3"/>
  <c r="EA53" i="3"/>
  <c r="D50" i="2" s="1"/>
  <c r="DY53" i="3"/>
  <c r="EA52" i="3"/>
  <c r="D49" i="2" s="1"/>
  <c r="DY52" i="3"/>
  <c r="EA51" i="3"/>
  <c r="D48" i="2" s="1"/>
  <c r="DY51" i="3"/>
  <c r="EA50" i="3"/>
  <c r="D47" i="2" s="1"/>
  <c r="DY50" i="3"/>
  <c r="EA49" i="3"/>
  <c r="D46" i="2" s="1"/>
  <c r="DY49" i="3"/>
  <c r="EA48" i="3"/>
  <c r="DY48" i="3"/>
  <c r="EA47" i="3"/>
  <c r="D44" i="2" s="1"/>
  <c r="DY47" i="3"/>
  <c r="EA46" i="3"/>
  <c r="D43" i="2" s="1"/>
  <c r="DY46" i="3"/>
  <c r="EA45" i="3"/>
  <c r="D42" i="2" s="1"/>
  <c r="DY45" i="3"/>
  <c r="EA44" i="3"/>
  <c r="D41" i="2" s="1"/>
  <c r="DY44" i="3"/>
  <c r="EA43" i="3"/>
  <c r="D40" i="2" s="1"/>
  <c r="DY43" i="3"/>
  <c r="EA42" i="3"/>
  <c r="DY42" i="3"/>
  <c r="EA41" i="3"/>
  <c r="D38" i="2" s="1"/>
  <c r="DY41" i="3"/>
  <c r="EA40" i="3"/>
  <c r="D37" i="2" s="1"/>
  <c r="DY40" i="3"/>
  <c r="EA39" i="3"/>
  <c r="D36" i="2" s="1"/>
  <c r="DY39" i="3"/>
  <c r="EA38" i="3"/>
  <c r="D35" i="2" s="1"/>
  <c r="DY38" i="3"/>
  <c r="EA37" i="3"/>
  <c r="D34" i="2" s="1"/>
  <c r="DY37" i="3"/>
  <c r="EA36" i="3"/>
  <c r="DY36" i="3"/>
  <c r="EA35" i="3"/>
  <c r="D32" i="2" s="1"/>
  <c r="DY35" i="3"/>
  <c r="EA34" i="3"/>
  <c r="D31" i="2" s="1"/>
  <c r="DY34" i="3"/>
  <c r="EA33" i="3"/>
  <c r="D30" i="2" s="1"/>
  <c r="DY33" i="3"/>
  <c r="EA32" i="3"/>
  <c r="D29" i="2" s="1"/>
  <c r="DY32" i="3"/>
  <c r="EA31" i="3"/>
  <c r="D28" i="2" s="1"/>
  <c r="DY31" i="3"/>
  <c r="EA30" i="3"/>
  <c r="D27" i="2" s="1"/>
  <c r="DY30" i="3"/>
  <c r="EA29" i="3"/>
  <c r="D26" i="2" s="1"/>
  <c r="DY29" i="3"/>
  <c r="EA28" i="3"/>
  <c r="D25" i="2" s="1"/>
  <c r="DY28" i="3"/>
  <c r="EA27" i="3"/>
  <c r="D24" i="2" s="1"/>
  <c r="DY27" i="3"/>
  <c r="EA26" i="3"/>
  <c r="D23" i="2" s="1"/>
  <c r="DY26" i="3"/>
  <c r="EA25" i="3"/>
  <c r="DY25" i="3"/>
  <c r="EA24" i="3"/>
  <c r="D21" i="2" s="1"/>
  <c r="DY24" i="3"/>
  <c r="EA23" i="3"/>
  <c r="D20" i="2" s="1"/>
  <c r="DY23" i="3"/>
  <c r="EA22" i="3"/>
  <c r="D19" i="2" s="1"/>
  <c r="DY22" i="3"/>
  <c r="EA21" i="3"/>
  <c r="D18" i="2" s="1"/>
  <c r="DY21" i="3"/>
  <c r="EA20" i="3"/>
  <c r="D17" i="2" s="1"/>
  <c r="DY20" i="3"/>
  <c r="EA19" i="3"/>
  <c r="D16" i="2" s="1"/>
  <c r="DY19" i="3"/>
  <c r="EA18" i="3"/>
  <c r="D15" i="2" s="1"/>
  <c r="DY18" i="3"/>
  <c r="EA17" i="3"/>
  <c r="D14" i="2" s="1"/>
  <c r="DY17" i="3"/>
  <c r="EA16" i="3"/>
  <c r="D13" i="2" s="1"/>
  <c r="DY16" i="3"/>
  <c r="EA15" i="3"/>
  <c r="D12" i="2" s="1"/>
  <c r="DY15" i="3"/>
  <c r="EA14" i="3"/>
  <c r="D11" i="2" s="1"/>
  <c r="DY14" i="3"/>
  <c r="EA13" i="3"/>
  <c r="D10" i="2" s="1"/>
  <c r="DY13" i="3"/>
  <c r="EA12" i="3"/>
  <c r="D9" i="2" s="1"/>
  <c r="DY12" i="3"/>
  <c r="EA11" i="3"/>
  <c r="D8" i="2" s="1"/>
  <c r="DY11" i="3"/>
  <c r="EA10" i="3"/>
  <c r="D7" i="2" s="1"/>
  <c r="DY10" i="3"/>
  <c r="EA9" i="3"/>
  <c r="D6" i="2" s="1"/>
  <c r="DY9" i="3"/>
  <c r="EA8" i="3"/>
  <c r="D5" i="2" s="1"/>
  <c r="DY8" i="3"/>
  <c r="EA7" i="3"/>
  <c r="D4" i="2" s="1"/>
  <c r="DY7" i="3"/>
  <c r="DW7" i="3"/>
  <c r="D45" i="2"/>
  <c r="D39" i="2"/>
  <c r="D33" i="2"/>
  <c r="D22" i="2"/>
  <c r="CF14" i="3" l="1"/>
  <c r="CD14" i="3"/>
  <c r="CF7" i="3"/>
  <c r="CF46" i="3"/>
  <c r="CF21" i="3"/>
  <c r="CD21" i="3"/>
  <c r="CD46" i="3"/>
  <c r="CF28" i="3"/>
  <c r="CD28" i="3"/>
  <c r="CD40" i="3"/>
  <c r="CF40" i="3"/>
  <c r="CD7" i="3"/>
  <c r="CF52" i="3"/>
  <c r="B44" i="3"/>
  <c r="DR32" i="3"/>
  <c r="B4" i="3"/>
  <c r="DR7" i="3"/>
  <c r="CI21" i="3"/>
  <c r="J3" i="2"/>
  <c r="D3" i="2"/>
  <c r="M3" i="2"/>
  <c r="H3" i="2"/>
  <c r="Q3" i="2"/>
  <c r="B3" i="2"/>
  <c r="E44" i="3" l="1"/>
  <c r="D44" i="3"/>
  <c r="G44" i="3"/>
  <c r="F44" i="3"/>
  <c r="C44" i="3"/>
  <c r="I44" i="3" s="1"/>
  <c r="C4" i="3"/>
  <c r="D4" i="3"/>
  <c r="E4" i="3"/>
  <c r="CI52" i="3"/>
  <c r="B18" i="3"/>
  <c r="DR15" i="3"/>
  <c r="B33" i="3"/>
  <c r="DR25" i="3"/>
  <c r="B32" i="3"/>
  <c r="DR24" i="3"/>
  <c r="DR26" i="3"/>
  <c r="B34" i="3"/>
  <c r="B11" i="3"/>
  <c r="DR11" i="3"/>
  <c r="B26" i="3"/>
  <c r="DR20" i="3"/>
  <c r="B31" i="3"/>
  <c r="DR23" i="3"/>
  <c r="DR27" i="3"/>
  <c r="B37" i="3"/>
  <c r="DR35" i="3"/>
  <c r="B49" i="3"/>
  <c r="B50" i="3"/>
  <c r="DR36" i="3"/>
  <c r="DR33" i="3"/>
  <c r="B45" i="3"/>
  <c r="DR38" i="3"/>
  <c r="B52" i="3"/>
  <c r="G4" i="3"/>
  <c r="F4" i="3"/>
  <c r="DR37" i="3"/>
  <c r="B51" i="3"/>
  <c r="B27" i="3"/>
  <c r="DR21" i="3"/>
  <c r="B6" i="3"/>
  <c r="DR9" i="3"/>
  <c r="B25" i="3"/>
  <c r="DR19" i="3"/>
  <c r="DR18" i="3"/>
  <c r="B21" i="3"/>
  <c r="DR22" i="3"/>
  <c r="B28" i="3"/>
  <c r="DR34" i="3"/>
  <c r="B46" i="3"/>
  <c r="DR16" i="3"/>
  <c r="B19" i="3"/>
  <c r="DR10" i="3"/>
  <c r="B7" i="3"/>
  <c r="DR30" i="3"/>
  <c r="B40" i="3"/>
  <c r="DR14" i="3"/>
  <c r="B14" i="3"/>
  <c r="B39" i="3"/>
  <c r="DR29" i="3"/>
  <c r="B5" i="3"/>
  <c r="DR8" i="3"/>
  <c r="B20" i="3"/>
  <c r="DR17" i="3"/>
  <c r="B43" i="3"/>
  <c r="DR31" i="3"/>
  <c r="DR13" i="3"/>
  <c r="B13" i="3"/>
  <c r="B38" i="3"/>
  <c r="DR28" i="3"/>
  <c r="B12" i="3"/>
  <c r="DR12" i="3"/>
  <c r="CI46" i="3"/>
  <c r="CI28" i="3"/>
  <c r="CI34" i="3"/>
  <c r="CI7" i="3"/>
  <c r="CI14" i="3"/>
  <c r="CI40" i="3"/>
  <c r="I4" i="3" l="1"/>
  <c r="E43" i="3"/>
  <c r="D43" i="3"/>
  <c r="G43" i="3"/>
  <c r="F43" i="3"/>
  <c r="C43" i="3"/>
  <c r="E5" i="3"/>
  <c r="C5" i="3"/>
  <c r="D5" i="3"/>
  <c r="D52" i="3"/>
  <c r="G52" i="3"/>
  <c r="C52" i="3"/>
  <c r="F52" i="3"/>
  <c r="E52" i="3"/>
  <c r="C13" i="3"/>
  <c r="E13" i="3"/>
  <c r="D13" i="3"/>
  <c r="E38" i="3"/>
  <c r="D38" i="3"/>
  <c r="C38" i="3"/>
  <c r="G38" i="3"/>
  <c r="F38" i="3"/>
  <c r="C6" i="3"/>
  <c r="D6" i="3"/>
  <c r="E6" i="3"/>
  <c r="G37" i="3"/>
  <c r="C37" i="3"/>
  <c r="F37" i="3"/>
  <c r="E37" i="3"/>
  <c r="D37" i="3"/>
  <c r="E34" i="3"/>
  <c r="D34" i="3"/>
  <c r="C34" i="3"/>
  <c r="F40" i="3"/>
  <c r="E40" i="3"/>
  <c r="D40" i="3"/>
  <c r="C40" i="3"/>
  <c r="G40" i="3"/>
  <c r="E19" i="3"/>
  <c r="D19" i="3"/>
  <c r="C19" i="3"/>
  <c r="E28" i="3"/>
  <c r="C28" i="3"/>
  <c r="D28" i="3"/>
  <c r="E50" i="3"/>
  <c r="D50" i="3"/>
  <c r="G50" i="3"/>
  <c r="F50" i="3"/>
  <c r="C50" i="3"/>
  <c r="D26" i="3"/>
  <c r="C26" i="3"/>
  <c r="E26" i="3"/>
  <c r="E33" i="3"/>
  <c r="D33" i="3"/>
  <c r="C33" i="3"/>
  <c r="E12" i="3"/>
  <c r="D12" i="3"/>
  <c r="C12" i="3"/>
  <c r="E20" i="3"/>
  <c r="D20" i="3"/>
  <c r="C20" i="3"/>
  <c r="G39" i="3"/>
  <c r="C39" i="3"/>
  <c r="F39" i="3"/>
  <c r="E39" i="3"/>
  <c r="D39" i="3"/>
  <c r="C25" i="3"/>
  <c r="E25" i="3"/>
  <c r="D25" i="3"/>
  <c r="E27" i="3"/>
  <c r="D27" i="3"/>
  <c r="C27" i="3"/>
  <c r="E45" i="3"/>
  <c r="D45" i="3"/>
  <c r="C45" i="3"/>
  <c r="G45" i="3"/>
  <c r="F45" i="3"/>
  <c r="E49" i="3"/>
  <c r="D49" i="3"/>
  <c r="G49" i="3"/>
  <c r="F49" i="3"/>
  <c r="C49" i="3"/>
  <c r="D14" i="3"/>
  <c r="E14" i="3"/>
  <c r="C14" i="3"/>
  <c r="E7" i="3"/>
  <c r="C7" i="3"/>
  <c r="D7" i="3"/>
  <c r="F46" i="3"/>
  <c r="E46" i="3"/>
  <c r="G46" i="3"/>
  <c r="D46" i="3"/>
  <c r="C46" i="3"/>
  <c r="C21" i="3"/>
  <c r="E21" i="3"/>
  <c r="D21" i="3"/>
  <c r="E51" i="3"/>
  <c r="D51" i="3"/>
  <c r="C51" i="3"/>
  <c r="G51" i="3"/>
  <c r="F51" i="3"/>
  <c r="E31" i="3"/>
  <c r="D31" i="3"/>
  <c r="C31" i="3"/>
  <c r="E11" i="3"/>
  <c r="D11" i="3"/>
  <c r="C11" i="3"/>
  <c r="E32" i="3"/>
  <c r="D32" i="3"/>
  <c r="C32" i="3"/>
  <c r="D18" i="3"/>
  <c r="E18" i="3"/>
  <c r="C18" i="3"/>
  <c r="H44" i="3"/>
  <c r="G5" i="3"/>
  <c r="F5" i="3"/>
  <c r="G6" i="3"/>
  <c r="F6" i="3"/>
  <c r="H52" i="3"/>
  <c r="F34" i="3"/>
  <c r="G34" i="3"/>
  <c r="F13" i="3"/>
  <c r="G13" i="3"/>
  <c r="G19" i="3"/>
  <c r="F19" i="3"/>
  <c r="G28" i="3"/>
  <c r="F28" i="3"/>
  <c r="F26" i="3"/>
  <c r="G26" i="3"/>
  <c r="F33" i="3"/>
  <c r="G33" i="3"/>
  <c r="G12" i="3"/>
  <c r="F12" i="3"/>
  <c r="F20" i="3"/>
  <c r="G20" i="3"/>
  <c r="F25" i="3"/>
  <c r="G25" i="3"/>
  <c r="F27" i="3"/>
  <c r="G27" i="3"/>
  <c r="H4" i="3"/>
  <c r="F14" i="3"/>
  <c r="G14" i="3"/>
  <c r="G7" i="3"/>
  <c r="F7" i="3"/>
  <c r="F21" i="3"/>
  <c r="G21" i="3"/>
  <c r="F31" i="3"/>
  <c r="G31" i="3"/>
  <c r="G11" i="3"/>
  <c r="F11" i="3"/>
  <c r="G32" i="3"/>
  <c r="F32" i="3"/>
  <c r="G18" i="3"/>
  <c r="F18" i="3"/>
  <c r="I52" i="3" l="1"/>
  <c r="I13" i="3"/>
  <c r="H6" i="3"/>
  <c r="H43" i="3"/>
  <c r="I40" i="3"/>
  <c r="H32" i="3"/>
  <c r="I21" i="3"/>
  <c r="H46" i="3"/>
  <c r="H49" i="3"/>
  <c r="I51" i="3"/>
  <c r="I39" i="3"/>
  <c r="H12" i="3"/>
  <c r="I33" i="3"/>
  <c r="I26" i="3"/>
  <c r="H5" i="3"/>
  <c r="H18" i="3"/>
  <c r="H38" i="3"/>
  <c r="H39" i="3"/>
  <c r="I12" i="3"/>
  <c r="H26" i="3"/>
  <c r="H50" i="3"/>
  <c r="I19" i="3"/>
  <c r="I37" i="3"/>
  <c r="H28" i="3"/>
  <c r="I31" i="3"/>
  <c r="H11" i="3"/>
  <c r="H7" i="3"/>
  <c r="I27" i="3"/>
  <c r="I20" i="3"/>
  <c r="I32" i="3"/>
  <c r="I49" i="3"/>
  <c r="H21" i="3"/>
  <c r="H51" i="3"/>
  <c r="H20" i="3"/>
  <c r="H40" i="3"/>
  <c r="I34" i="3"/>
  <c r="I43" i="3"/>
  <c r="I18" i="3"/>
  <c r="H27" i="3"/>
  <c r="H13" i="3"/>
  <c r="I38" i="3"/>
  <c r="H45" i="3"/>
  <c r="I25" i="3"/>
  <c r="H25" i="3"/>
  <c r="H33" i="3"/>
  <c r="I50" i="3"/>
  <c r="I28" i="3"/>
  <c r="H19" i="3"/>
  <c r="H34" i="3"/>
  <c r="H37" i="3"/>
  <c r="I6" i="3"/>
  <c r="I5" i="3"/>
  <c r="I11" i="3"/>
  <c r="H31" i="3"/>
  <c r="I46" i="3"/>
  <c r="I7" i="3"/>
  <c r="I14" i="3"/>
  <c r="H14" i="3"/>
  <c r="I45" i="3"/>
  <c r="I77" i="3" l="1"/>
  <c r="I80" i="3"/>
  <c r="I79" i="3"/>
  <c r="I78" i="3"/>
  <c r="I102" i="3"/>
  <c r="I101" i="3"/>
  <c r="I104" i="3"/>
  <c r="K52" i="3"/>
  <c r="K51" i="3"/>
  <c r="K50" i="3"/>
  <c r="K49" i="3"/>
  <c r="I103" i="3"/>
  <c r="I90" i="3"/>
  <c r="I89" i="3"/>
  <c r="I92" i="3"/>
  <c r="I91" i="3"/>
  <c r="K38" i="3"/>
  <c r="K39" i="3"/>
  <c r="K37" i="3"/>
  <c r="K40" i="3"/>
  <c r="I65" i="3"/>
  <c r="I66" i="3"/>
  <c r="I64" i="3"/>
  <c r="I63" i="3"/>
  <c r="I96" i="3"/>
  <c r="I95" i="3"/>
  <c r="I97" i="3"/>
  <c r="I98" i="3"/>
  <c r="K45" i="3"/>
  <c r="K44" i="3"/>
  <c r="K43" i="3"/>
  <c r="K46" i="3"/>
  <c r="I84" i="3"/>
  <c r="I86" i="3"/>
  <c r="I83" i="3"/>
  <c r="I85" i="3"/>
  <c r="I72" i="3"/>
  <c r="I70" i="3"/>
  <c r="I71" i="3"/>
  <c r="I73" i="3"/>
  <c r="I59" i="3"/>
  <c r="I57" i="3"/>
  <c r="I58" i="3"/>
  <c r="I56" i="3"/>
  <c r="K31" i="3"/>
  <c r="K33" i="3"/>
  <c r="K13" i="3"/>
  <c r="K14" i="3"/>
  <c r="K11" i="3"/>
  <c r="K12" i="3"/>
  <c r="K7" i="3"/>
  <c r="K6" i="3"/>
  <c r="K5" i="3"/>
  <c r="K4" i="3"/>
  <c r="K27" i="3"/>
  <c r="K26" i="3"/>
  <c r="K25" i="3"/>
  <c r="K28" i="3"/>
  <c r="K34" i="3"/>
  <c r="K32" i="3"/>
  <c r="K20" i="3"/>
  <c r="K19" i="3"/>
  <c r="K21" i="3"/>
  <c r="K18" i="3"/>
  <c r="DR70" i="3"/>
  <c r="DT70" i="3" s="1"/>
  <c r="M45" i="3" l="1"/>
  <c r="M44" i="3"/>
  <c r="M43" i="3"/>
  <c r="M46" i="3"/>
  <c r="M51" i="3"/>
  <c r="M50" i="3"/>
  <c r="M49" i="3"/>
  <c r="M52" i="3"/>
  <c r="M37" i="3"/>
  <c r="M40" i="3"/>
  <c r="M39" i="3"/>
  <c r="M38" i="3"/>
  <c r="M34" i="3"/>
  <c r="M12" i="3"/>
  <c r="M32" i="3"/>
  <c r="M31" i="3"/>
  <c r="M26" i="3"/>
  <c r="M28" i="3"/>
  <c r="M25" i="3"/>
  <c r="M27" i="3"/>
  <c r="M11" i="3"/>
  <c r="M13" i="3"/>
  <c r="M14" i="3"/>
  <c r="M19" i="3"/>
  <c r="M18" i="3"/>
  <c r="M21" i="3"/>
  <c r="M20" i="3"/>
  <c r="M6" i="3"/>
  <c r="M5" i="3"/>
  <c r="M7" i="3"/>
  <c r="M4" i="3"/>
  <c r="M33" i="3"/>
  <c r="DR74" i="3"/>
  <c r="DT74" i="3" s="1"/>
  <c r="DR71" i="3"/>
  <c r="DT71" i="3" s="1"/>
  <c r="N40" i="3" l="1"/>
  <c r="O40" i="3" s="1"/>
  <c r="N52" i="3"/>
  <c r="O52" i="3" s="1"/>
  <c r="N50" i="3"/>
  <c r="O50" i="3" s="1"/>
  <c r="N51" i="3"/>
  <c r="O51" i="3" s="1"/>
  <c r="Q49" i="3" s="1"/>
  <c r="N49" i="3"/>
  <c r="O49" i="3" s="1"/>
  <c r="N46" i="3"/>
  <c r="O46" i="3" s="1"/>
  <c r="N44" i="3"/>
  <c r="O44" i="3" s="1"/>
  <c r="N45" i="3"/>
  <c r="O45" i="3" s="1"/>
  <c r="Q43" i="3" s="1"/>
  <c r="N43" i="3"/>
  <c r="O43" i="3" s="1"/>
  <c r="N20" i="3"/>
  <c r="O20" i="3" s="1"/>
  <c r="Q18" i="3" s="1"/>
  <c r="N37" i="3"/>
  <c r="O37" i="3" s="1"/>
  <c r="N38" i="3"/>
  <c r="O38" i="3" s="1"/>
  <c r="N39" i="3"/>
  <c r="O39" i="3" s="1"/>
  <c r="Q37" i="3" s="1"/>
  <c r="Q38" i="3" s="1"/>
  <c r="R37" i="3"/>
  <c r="N7" i="3"/>
  <c r="O7" i="3" s="1"/>
  <c r="R4" i="3" s="1"/>
  <c r="R5" i="3" s="1"/>
  <c r="N6" i="3"/>
  <c r="O6" i="3" s="1"/>
  <c r="Q4" i="3" s="1"/>
  <c r="AO5" i="3" s="1"/>
  <c r="N5" i="3"/>
  <c r="O5" i="3" s="1"/>
  <c r="N4" i="3"/>
  <c r="O4" i="3" s="1"/>
  <c r="N12" i="3"/>
  <c r="O12" i="3" s="1"/>
  <c r="N18" i="3"/>
  <c r="O18" i="3" s="1"/>
  <c r="N19" i="3"/>
  <c r="O19" i="3" s="1"/>
  <c r="N21" i="3"/>
  <c r="O21" i="3" s="1"/>
  <c r="N13" i="3"/>
  <c r="O13" i="3" s="1"/>
  <c r="Q11" i="3" s="1"/>
  <c r="N14" i="3"/>
  <c r="O14" i="3" s="1"/>
  <c r="R11" i="3" s="1"/>
  <c r="N11" i="3"/>
  <c r="O11" i="3" s="1"/>
  <c r="R43" i="3"/>
  <c r="R44" i="3" s="1"/>
  <c r="N32" i="3"/>
  <c r="O32" i="3" s="1"/>
  <c r="N31" i="3"/>
  <c r="O31" i="3" s="1"/>
  <c r="N33" i="3"/>
  <c r="O33" i="3" s="1"/>
  <c r="Q31" i="3" s="1"/>
  <c r="N34" i="3"/>
  <c r="O34" i="3" s="1"/>
  <c r="R31" i="3" s="1"/>
  <c r="N25" i="3"/>
  <c r="O25" i="3" s="1"/>
  <c r="N28" i="3"/>
  <c r="O28" i="3" s="1"/>
  <c r="N27" i="3"/>
  <c r="O27" i="3" s="1"/>
  <c r="Q25" i="3" s="1"/>
  <c r="N26" i="3"/>
  <c r="O26" i="3" s="1"/>
  <c r="AY5" i="3" l="1"/>
  <c r="AW5" i="3"/>
  <c r="AX5" i="3"/>
  <c r="P37" i="3"/>
  <c r="U37" i="3" s="1"/>
  <c r="AO38" i="3"/>
  <c r="BI45" i="3"/>
  <c r="P18" i="3"/>
  <c r="U18" i="3" s="1"/>
  <c r="Q5" i="3"/>
  <c r="AO6" i="3" s="1"/>
  <c r="BI6" i="3"/>
  <c r="P25" i="3"/>
  <c r="P26" i="3" s="1"/>
  <c r="R25" i="3"/>
  <c r="R26" i="3" s="1"/>
  <c r="R49" i="3"/>
  <c r="P4" i="3"/>
  <c r="U4" i="3" s="1"/>
  <c r="P43" i="3"/>
  <c r="BI39" i="3"/>
  <c r="R38" i="3"/>
  <c r="Q26" i="3"/>
  <c r="AO26" i="3"/>
  <c r="AO32" i="3"/>
  <c r="Q32" i="3"/>
  <c r="P49" i="3"/>
  <c r="AO12" i="3"/>
  <c r="Q12" i="3"/>
  <c r="Q44" i="3"/>
  <c r="AO44" i="3"/>
  <c r="AO19" i="3"/>
  <c r="Q19" i="3"/>
  <c r="P11" i="3"/>
  <c r="P31" i="3"/>
  <c r="R18" i="3"/>
  <c r="Q39" i="3"/>
  <c r="AO39" i="3"/>
  <c r="BI33" i="3"/>
  <c r="R32" i="3"/>
  <c r="AO50" i="3"/>
  <c r="Q50" i="3"/>
  <c r="BI13" i="3"/>
  <c r="R12" i="3"/>
  <c r="R45" i="3"/>
  <c r="BI46" i="3"/>
  <c r="BI7" i="3"/>
  <c r="R6" i="3"/>
  <c r="U25" i="3" l="1"/>
  <c r="AC25" i="3" s="1"/>
  <c r="AC4" i="3"/>
  <c r="AE4" i="3"/>
  <c r="AD4" i="3"/>
  <c r="AX32" i="3"/>
  <c r="AW32" i="3"/>
  <c r="AY32" i="3"/>
  <c r="AD18" i="3"/>
  <c r="AC18" i="3"/>
  <c r="AE18" i="3"/>
  <c r="AD25" i="3"/>
  <c r="BQ6" i="3"/>
  <c r="BK6" i="3"/>
  <c r="BS6" i="3"/>
  <c r="BL6" i="3"/>
  <c r="BM6" i="3"/>
  <c r="BR6" i="3"/>
  <c r="BJ6" i="3"/>
  <c r="BN6" i="3"/>
  <c r="AN102" i="3"/>
  <c r="BG50" i="3"/>
  <c r="BC50" i="3"/>
  <c r="AX50" i="3"/>
  <c r="BF50" i="3"/>
  <c r="BB50" i="3"/>
  <c r="AW50" i="3"/>
  <c r="BH50" i="3"/>
  <c r="AY50" i="3"/>
  <c r="BE50" i="3"/>
  <c r="BD50" i="3"/>
  <c r="BA50" i="3"/>
  <c r="BR39" i="3"/>
  <c r="BQ39" i="3"/>
  <c r="BS39" i="3"/>
  <c r="BS7" i="3"/>
  <c r="BM7" i="3"/>
  <c r="BL7" i="3"/>
  <c r="BR7" i="3"/>
  <c r="BK7" i="3"/>
  <c r="BN7" i="3"/>
  <c r="BQ7" i="3"/>
  <c r="BJ7" i="3"/>
  <c r="BQ13" i="3"/>
  <c r="BS13" i="3"/>
  <c r="BR13" i="3"/>
  <c r="BR33" i="3"/>
  <c r="BQ33" i="3"/>
  <c r="BS33" i="3"/>
  <c r="AY19" i="3"/>
  <c r="AX19" i="3"/>
  <c r="AW19" i="3"/>
  <c r="AW12" i="3"/>
  <c r="AX12" i="3"/>
  <c r="AY12" i="3"/>
  <c r="AX26" i="3"/>
  <c r="AW26" i="3"/>
  <c r="AY26" i="3"/>
  <c r="CB45" i="3"/>
  <c r="BW45" i="3"/>
  <c r="BR45" i="3"/>
  <c r="BL45" i="3"/>
  <c r="BZ45" i="3"/>
  <c r="BV45" i="3"/>
  <c r="BQ45" i="3"/>
  <c r="BK45" i="3"/>
  <c r="BU45" i="3"/>
  <c r="BJ45" i="3"/>
  <c r="BS45" i="3"/>
  <c r="BY45" i="3"/>
  <c r="BX45" i="3"/>
  <c r="BN45" i="3"/>
  <c r="BM45" i="3"/>
  <c r="AN96" i="3"/>
  <c r="AO96" i="3" s="1"/>
  <c r="BG44" i="3"/>
  <c r="BC44" i="3"/>
  <c r="AX44" i="3"/>
  <c r="BF44" i="3"/>
  <c r="BB44" i="3"/>
  <c r="AW44" i="3"/>
  <c r="BH44" i="3"/>
  <c r="AY44" i="3"/>
  <c r="BE44" i="3"/>
  <c r="BD44" i="3"/>
  <c r="BA44" i="3"/>
  <c r="BX46" i="3"/>
  <c r="BS46" i="3"/>
  <c r="BM46" i="3"/>
  <c r="CB46" i="3"/>
  <c r="BW46" i="3"/>
  <c r="BR46" i="3"/>
  <c r="BL46" i="3"/>
  <c r="BZ46" i="3"/>
  <c r="BQ46" i="3"/>
  <c r="BY46" i="3"/>
  <c r="BN46" i="3"/>
  <c r="BV46" i="3"/>
  <c r="BU46" i="3"/>
  <c r="BK46" i="3"/>
  <c r="BJ46" i="3"/>
  <c r="AY38" i="3"/>
  <c r="AX38" i="3"/>
  <c r="AW38" i="3"/>
  <c r="AX39" i="3"/>
  <c r="AW39" i="3"/>
  <c r="AY39" i="3"/>
  <c r="AW6" i="3"/>
  <c r="AY6" i="3"/>
  <c r="AX6" i="3"/>
  <c r="AD37" i="3"/>
  <c r="AC37" i="3"/>
  <c r="AE37" i="3"/>
  <c r="P38" i="3"/>
  <c r="P39" i="3" s="1"/>
  <c r="Q6" i="3"/>
  <c r="AO7" i="3" s="1"/>
  <c r="P19" i="3"/>
  <c r="U19" i="3" s="1"/>
  <c r="BI27" i="3"/>
  <c r="P5" i="3"/>
  <c r="P6" i="3" s="1"/>
  <c r="P44" i="3"/>
  <c r="U43" i="3"/>
  <c r="BI40" i="3"/>
  <c r="BL39" i="3" s="1"/>
  <c r="R39" i="3"/>
  <c r="BI51" i="3"/>
  <c r="R50" i="3"/>
  <c r="Q40" i="3"/>
  <c r="AO40" i="3"/>
  <c r="AT38" i="3" s="1"/>
  <c r="AV44" i="3"/>
  <c r="AZ44" i="3" s="1"/>
  <c r="Q13" i="3"/>
  <c r="AO13" i="3"/>
  <c r="AO33" i="3"/>
  <c r="Q33" i="3"/>
  <c r="AO51" i="3"/>
  <c r="Q51" i="3"/>
  <c r="U26" i="3"/>
  <c r="P27" i="3"/>
  <c r="R19" i="3"/>
  <c r="BI20" i="3"/>
  <c r="P12" i="3"/>
  <c r="U11" i="3"/>
  <c r="Q45" i="3"/>
  <c r="AO45" i="3"/>
  <c r="BD12" i="3"/>
  <c r="AV12" i="3"/>
  <c r="AZ12" i="3" s="1"/>
  <c r="BB12" i="3"/>
  <c r="BG12" i="3"/>
  <c r="AN64" i="3"/>
  <c r="AO64" i="3" s="1"/>
  <c r="BA12" i="3"/>
  <c r="BF12" i="3"/>
  <c r="BH12" i="3"/>
  <c r="BC12" i="3"/>
  <c r="BE12" i="3"/>
  <c r="AN84" i="3"/>
  <c r="AO84" i="3" s="1"/>
  <c r="BH32" i="3"/>
  <c r="BF32" i="3"/>
  <c r="BE32" i="3"/>
  <c r="BC32" i="3"/>
  <c r="BA32" i="3"/>
  <c r="BG32" i="3"/>
  <c r="BD32" i="3"/>
  <c r="AV32" i="3"/>
  <c r="AZ32" i="3" s="1"/>
  <c r="BB32" i="3"/>
  <c r="AV50" i="3"/>
  <c r="AZ50" i="3" s="1"/>
  <c r="AO102" i="3"/>
  <c r="U31" i="3"/>
  <c r="P32" i="3"/>
  <c r="Q20" i="3"/>
  <c r="AO20" i="3"/>
  <c r="P50" i="3"/>
  <c r="U49" i="3"/>
  <c r="BG26" i="3"/>
  <c r="AV26" i="3"/>
  <c r="AZ26" i="3" s="1"/>
  <c r="BB26" i="3"/>
  <c r="AN78" i="3"/>
  <c r="AO78" i="3" s="1"/>
  <c r="BC26" i="3"/>
  <c r="BE26" i="3"/>
  <c r="BH26" i="3"/>
  <c r="BF26" i="3"/>
  <c r="BD26" i="3"/>
  <c r="BA26" i="3"/>
  <c r="BI14" i="3"/>
  <c r="BM13" i="3" s="1"/>
  <c r="R13" i="3"/>
  <c r="BI34" i="3"/>
  <c r="BK33" i="3" s="1"/>
  <c r="R33" i="3"/>
  <c r="AN71" i="3"/>
  <c r="AO71" i="3" s="1"/>
  <c r="BH19" i="3"/>
  <c r="BC19" i="3"/>
  <c r="BB19" i="3"/>
  <c r="BD19" i="3"/>
  <c r="BE19" i="3"/>
  <c r="BG19" i="3"/>
  <c r="BA19" i="3"/>
  <c r="AV19" i="3"/>
  <c r="AZ19" i="3" s="1"/>
  <c r="BF19" i="3"/>
  <c r="BI28" i="3"/>
  <c r="R27" i="3"/>
  <c r="Q27" i="3"/>
  <c r="AO27" i="3"/>
  <c r="BP45" i="3"/>
  <c r="BT45" i="3" s="1"/>
  <c r="AE25" i="3" l="1"/>
  <c r="BL13" i="3"/>
  <c r="AP39" i="3"/>
  <c r="U38" i="3"/>
  <c r="AQ39" i="3"/>
  <c r="BN13" i="3"/>
  <c r="AS38" i="3"/>
  <c r="BK13" i="3"/>
  <c r="AY7" i="3"/>
  <c r="AS7" i="3"/>
  <c r="AW7" i="3"/>
  <c r="AP7" i="3"/>
  <c r="AT7" i="3"/>
  <c r="AR7" i="3"/>
  <c r="AX7" i="3"/>
  <c r="AQ7" i="3"/>
  <c r="AR5" i="3"/>
  <c r="AS5" i="3"/>
  <c r="AQ6" i="3"/>
  <c r="AR6" i="3"/>
  <c r="AQ5" i="3"/>
  <c r="AT6" i="3"/>
  <c r="AP5" i="3"/>
  <c r="AS6" i="3"/>
  <c r="AP6" i="3"/>
  <c r="AT5" i="3"/>
  <c r="Q7" i="3"/>
  <c r="AY20" i="3"/>
  <c r="AX20" i="3"/>
  <c r="AW20" i="3"/>
  <c r="AY102" i="3"/>
  <c r="AX102" i="3"/>
  <c r="AW102" i="3"/>
  <c r="AE11" i="3"/>
  <c r="AC11" i="3"/>
  <c r="AD11" i="3"/>
  <c r="BE96" i="3"/>
  <c r="BA96" i="3"/>
  <c r="BD96" i="3"/>
  <c r="AY96" i="3"/>
  <c r="BC96" i="3"/>
  <c r="BB96" i="3"/>
  <c r="BF96" i="3"/>
  <c r="AX96" i="3"/>
  <c r="AW96" i="3"/>
  <c r="AC43" i="3"/>
  <c r="AE43" i="3"/>
  <c r="AD43" i="3"/>
  <c r="AE38" i="3"/>
  <c r="AD38" i="3"/>
  <c r="AC38" i="3"/>
  <c r="AR38" i="3"/>
  <c r="BJ39" i="3"/>
  <c r="BK39" i="3"/>
  <c r="BN28" i="3"/>
  <c r="BJ28" i="3"/>
  <c r="BS28" i="3"/>
  <c r="BM28" i="3"/>
  <c r="BQ28" i="3"/>
  <c r="BL28" i="3"/>
  <c r="BK28" i="3"/>
  <c r="BR28" i="3"/>
  <c r="BR34" i="3"/>
  <c r="BL34" i="3"/>
  <c r="BQ34" i="3"/>
  <c r="BK34" i="3"/>
  <c r="BJ34" i="3"/>
  <c r="BS34" i="3"/>
  <c r="BN34" i="3"/>
  <c r="BM34" i="3"/>
  <c r="AW64" i="3"/>
  <c r="AY64" i="3"/>
  <c r="AX64" i="3"/>
  <c r="AD26" i="3"/>
  <c r="AC26" i="3"/>
  <c r="AE26" i="3"/>
  <c r="CB51" i="3"/>
  <c r="BW51" i="3"/>
  <c r="BR51" i="3"/>
  <c r="BZ51" i="3"/>
  <c r="BV51" i="3"/>
  <c r="BQ51" i="3"/>
  <c r="BU51" i="3"/>
  <c r="BS51" i="3"/>
  <c r="BY51" i="3"/>
  <c r="BX51" i="3"/>
  <c r="AE19" i="3"/>
  <c r="AC19" i="3"/>
  <c r="AD19" i="3"/>
  <c r="BM39" i="3"/>
  <c r="BJ33" i="3"/>
  <c r="AY27" i="3"/>
  <c r="AX27" i="3"/>
  <c r="AW27" i="3"/>
  <c r="AX78" i="3"/>
  <c r="AW78" i="3"/>
  <c r="AY78" i="3"/>
  <c r="AC49" i="3"/>
  <c r="AE49" i="3"/>
  <c r="AD49" i="3"/>
  <c r="AN97" i="3"/>
  <c r="BC45" i="3"/>
  <c r="AX45" i="3"/>
  <c r="BF45" i="3"/>
  <c r="BB45" i="3"/>
  <c r="AW45" i="3"/>
  <c r="BA45" i="3"/>
  <c r="BH45" i="3"/>
  <c r="AY45" i="3"/>
  <c r="BE45" i="3"/>
  <c r="BD45" i="3"/>
  <c r="BS20" i="3"/>
  <c r="BR20" i="3"/>
  <c r="BQ20" i="3"/>
  <c r="AW13" i="3"/>
  <c r="AY13" i="3"/>
  <c r="AX13" i="3"/>
  <c r="AT40" i="3"/>
  <c r="AP40" i="3"/>
  <c r="AY40" i="3"/>
  <c r="AS40" i="3"/>
  <c r="AX40" i="3"/>
  <c r="AW40" i="3"/>
  <c r="AR40" i="3"/>
  <c r="AQ40" i="3"/>
  <c r="AS39" i="3"/>
  <c r="BM33" i="3"/>
  <c r="BL33" i="3"/>
  <c r="BN39" i="3"/>
  <c r="AX33" i="3"/>
  <c r="AW33" i="3"/>
  <c r="AY33" i="3"/>
  <c r="AX71" i="3"/>
  <c r="AW71" i="3"/>
  <c r="AY71" i="3"/>
  <c r="BR14" i="3"/>
  <c r="BL14" i="3"/>
  <c r="BN14" i="3"/>
  <c r="BM14" i="3"/>
  <c r="BS14" i="3"/>
  <c r="BQ14" i="3"/>
  <c r="BK14" i="3"/>
  <c r="BJ14" i="3"/>
  <c r="AE31" i="3"/>
  <c r="AD31" i="3"/>
  <c r="AC31" i="3"/>
  <c r="AY84" i="3"/>
  <c r="AW84" i="3"/>
  <c r="AX84" i="3"/>
  <c r="BC51" i="3"/>
  <c r="AX51" i="3"/>
  <c r="BF51" i="3"/>
  <c r="BB51" i="3"/>
  <c r="AW51" i="3"/>
  <c r="BA51" i="3"/>
  <c r="BH51" i="3"/>
  <c r="AY51" i="3"/>
  <c r="BE51" i="3"/>
  <c r="BD51" i="3"/>
  <c r="AN103" i="3"/>
  <c r="BN40" i="3"/>
  <c r="BJ40" i="3"/>
  <c r="BS40" i="3"/>
  <c r="BM40" i="3"/>
  <c r="BR40" i="3"/>
  <c r="BQ40" i="3"/>
  <c r="BL40" i="3"/>
  <c r="BK40" i="3"/>
  <c r="BS27" i="3"/>
  <c r="BM27" i="3"/>
  <c r="BR27" i="3"/>
  <c r="BL27" i="3"/>
  <c r="BQ27" i="3"/>
  <c r="BN27" i="3"/>
  <c r="BK27" i="3"/>
  <c r="BJ27" i="3"/>
  <c r="AT39" i="3"/>
  <c r="AR39" i="3"/>
  <c r="AQ38" i="3"/>
  <c r="AP38" i="3"/>
  <c r="BN33" i="3"/>
  <c r="BJ13" i="3"/>
  <c r="P20" i="3"/>
  <c r="U20" i="3" s="1"/>
  <c r="U5" i="3"/>
  <c r="BP7" i="3"/>
  <c r="BT7" i="3" s="1"/>
  <c r="U39" i="3"/>
  <c r="P40" i="3"/>
  <c r="U40" i="3" s="1"/>
  <c r="BO7" i="3"/>
  <c r="BP39" i="3"/>
  <c r="BT39" i="3" s="1"/>
  <c r="BI52" i="3"/>
  <c r="BM51" i="3" s="1"/>
  <c r="R51" i="3"/>
  <c r="U44" i="3"/>
  <c r="P45" i="3"/>
  <c r="BO46" i="3"/>
  <c r="U6" i="3"/>
  <c r="P7" i="3"/>
  <c r="U7" i="3" s="1"/>
  <c r="U50" i="3"/>
  <c r="P51" i="3"/>
  <c r="BG20" i="3"/>
  <c r="BB20" i="3"/>
  <c r="AN72" i="3"/>
  <c r="AO72" i="3" s="1"/>
  <c r="BH20" i="3"/>
  <c r="BC20" i="3"/>
  <c r="BE20" i="3"/>
  <c r="BD20" i="3"/>
  <c r="BA20" i="3"/>
  <c r="AV20" i="3"/>
  <c r="AZ20" i="3" s="1"/>
  <c r="BF20" i="3"/>
  <c r="P13" i="3"/>
  <c r="U12" i="3"/>
  <c r="Q14" i="3"/>
  <c r="AO14" i="3"/>
  <c r="AR13" i="3" s="1"/>
  <c r="BP28" i="3"/>
  <c r="BT28" i="3" s="1"/>
  <c r="BP14" i="3"/>
  <c r="BT14" i="3" s="1"/>
  <c r="BP27" i="3"/>
  <c r="BT27" i="3" s="1"/>
  <c r="Q21" i="3"/>
  <c r="AO21" i="3"/>
  <c r="AR20" i="3" s="1"/>
  <c r="AN62" i="3"/>
  <c r="BC64" i="3"/>
  <c r="BF64" i="3"/>
  <c r="BE64" i="3"/>
  <c r="BD64" i="3"/>
  <c r="BA64" i="3"/>
  <c r="AV64" i="3"/>
  <c r="AZ64" i="3" s="1"/>
  <c r="BB64" i="3"/>
  <c r="BG64" i="3"/>
  <c r="AV45" i="3"/>
  <c r="AZ45" i="3" s="1"/>
  <c r="AO97" i="3"/>
  <c r="AO52" i="3"/>
  <c r="AR50" i="3" s="1"/>
  <c r="Q52" i="3"/>
  <c r="Q34" i="3"/>
  <c r="AO34" i="3"/>
  <c r="AP32" i="3" s="1"/>
  <c r="AV96" i="3"/>
  <c r="AZ96" i="3" s="1"/>
  <c r="BG96" i="3"/>
  <c r="AN94" i="3"/>
  <c r="AV40" i="3"/>
  <c r="BP33" i="3"/>
  <c r="BT33" i="3" s="1"/>
  <c r="AV27" i="3"/>
  <c r="AZ27" i="3" s="1"/>
  <c r="BF27" i="3"/>
  <c r="BC27" i="3"/>
  <c r="AN79" i="3"/>
  <c r="AO79" i="3" s="1"/>
  <c r="BG27" i="3"/>
  <c r="BA27" i="3"/>
  <c r="BH27" i="3"/>
  <c r="BB27" i="3"/>
  <c r="BE27" i="3"/>
  <c r="BD27" i="3"/>
  <c r="BC71" i="3"/>
  <c r="AN69" i="3"/>
  <c r="BE71" i="3"/>
  <c r="AV71" i="3"/>
  <c r="AZ71" i="3" s="1"/>
  <c r="BF71" i="3"/>
  <c r="BA71" i="3"/>
  <c r="BD71" i="3"/>
  <c r="BG71" i="3"/>
  <c r="BB71" i="3"/>
  <c r="BE78" i="3"/>
  <c r="BD78" i="3"/>
  <c r="BF78" i="3"/>
  <c r="BA78" i="3"/>
  <c r="AV78" i="3"/>
  <c r="AZ78" i="3" s="1"/>
  <c r="BB78" i="3"/>
  <c r="BG78" i="3"/>
  <c r="AN76" i="3"/>
  <c r="BC78" i="3"/>
  <c r="P33" i="3"/>
  <c r="U32" i="3"/>
  <c r="BA102" i="3"/>
  <c r="AV102" i="3"/>
  <c r="AZ102" i="3" s="1"/>
  <c r="BF102" i="3"/>
  <c r="BG102" i="3"/>
  <c r="BB102" i="3"/>
  <c r="AN100" i="3"/>
  <c r="BC102" i="3"/>
  <c r="BE102" i="3"/>
  <c r="BD102" i="3"/>
  <c r="AO46" i="3"/>
  <c r="AR44" i="3" s="1"/>
  <c r="Q46" i="3"/>
  <c r="R20" i="3"/>
  <c r="BI21" i="3"/>
  <c r="BM20" i="3" s="1"/>
  <c r="AO103" i="3"/>
  <c r="AV51" i="3"/>
  <c r="AZ51" i="3" s="1"/>
  <c r="BC33" i="3"/>
  <c r="BF33" i="3"/>
  <c r="AN85" i="3"/>
  <c r="AO85" i="3" s="1"/>
  <c r="BA33" i="3"/>
  <c r="BE33" i="3"/>
  <c r="BH33" i="3"/>
  <c r="AV33" i="3"/>
  <c r="AZ33" i="3" s="1"/>
  <c r="BD33" i="3"/>
  <c r="BG33" i="3"/>
  <c r="BB33" i="3"/>
  <c r="BP13" i="3"/>
  <c r="BT13" i="3" s="1"/>
  <c r="BP6" i="3"/>
  <c r="BT6" i="3" s="1"/>
  <c r="BU7" i="3" s="1"/>
  <c r="BP46" i="3"/>
  <c r="BT46" i="3" s="1"/>
  <c r="AO28" i="3"/>
  <c r="AQ26" i="3" s="1"/>
  <c r="Q28" i="3"/>
  <c r="BC84" i="3"/>
  <c r="BF84" i="3"/>
  <c r="BG84" i="3"/>
  <c r="BE84" i="3"/>
  <c r="BB84" i="3"/>
  <c r="AN82" i="3"/>
  <c r="AV84" i="3"/>
  <c r="AZ84" i="3" s="1"/>
  <c r="BD84" i="3"/>
  <c r="BA84" i="3"/>
  <c r="U27" i="3"/>
  <c r="P28" i="3"/>
  <c r="U28" i="3" s="1"/>
  <c r="BH13" i="3"/>
  <c r="BC13" i="3"/>
  <c r="BE13" i="3"/>
  <c r="BD13" i="3"/>
  <c r="AV13" i="3"/>
  <c r="AZ13" i="3" s="1"/>
  <c r="BF13" i="3"/>
  <c r="BB13" i="3"/>
  <c r="AN65" i="3"/>
  <c r="AO65" i="3" s="1"/>
  <c r="BG13" i="3"/>
  <c r="BA13" i="3"/>
  <c r="BU6" i="3"/>
  <c r="BO6" i="3"/>
  <c r="BO45" i="3"/>
  <c r="AV7" i="3"/>
  <c r="AV5" i="3"/>
  <c r="AS19" i="3" l="1"/>
  <c r="AS20" i="3"/>
  <c r="Y25" i="3"/>
  <c r="Z25" i="3"/>
  <c r="AT27" i="3"/>
  <c r="Z26" i="3"/>
  <c r="Y38" i="3"/>
  <c r="AQ32" i="3"/>
  <c r="AQ19" i="3"/>
  <c r="AP33" i="3"/>
  <c r="BN20" i="3"/>
  <c r="P21" i="3"/>
  <c r="U21" i="3" s="1"/>
  <c r="Y20" i="3" s="1"/>
  <c r="W25" i="3"/>
  <c r="AS26" i="3"/>
  <c r="AP51" i="3"/>
  <c r="BK20" i="3"/>
  <c r="AS27" i="3"/>
  <c r="AE20" i="3"/>
  <c r="AD20" i="3"/>
  <c r="AC20" i="3"/>
  <c r="W18" i="3"/>
  <c r="V19" i="3"/>
  <c r="X37" i="3"/>
  <c r="AX85" i="3"/>
  <c r="AY85" i="3"/>
  <c r="AW85" i="3"/>
  <c r="AX103" i="3"/>
  <c r="AW103" i="3"/>
  <c r="AY103" i="3"/>
  <c r="BH46" i="3"/>
  <c r="BD46" i="3"/>
  <c r="AY46" i="3"/>
  <c r="AS46" i="3"/>
  <c r="AN98" i="3"/>
  <c r="BC46" i="3"/>
  <c r="AX46" i="3"/>
  <c r="AR46" i="3"/>
  <c r="BF46" i="3"/>
  <c r="AW46" i="3"/>
  <c r="BE46" i="3"/>
  <c r="AT46" i="3"/>
  <c r="BB46" i="3"/>
  <c r="BA46" i="3"/>
  <c r="AQ46" i="3"/>
  <c r="AP46" i="3"/>
  <c r="AS44" i="3"/>
  <c r="AX79" i="3"/>
  <c r="AW79" i="3"/>
  <c r="AY79" i="3"/>
  <c r="AN104" i="3"/>
  <c r="BF52" i="3"/>
  <c r="BB52" i="3"/>
  <c r="AW52" i="3"/>
  <c r="AQ52" i="3"/>
  <c r="BE52" i="3"/>
  <c r="BA52" i="3"/>
  <c r="AT52" i="3"/>
  <c r="AP52" i="3"/>
  <c r="BH52" i="3"/>
  <c r="AY52" i="3"/>
  <c r="AX52" i="3"/>
  <c r="AS52" i="3"/>
  <c r="AR52" i="3"/>
  <c r="BD52" i="3"/>
  <c r="BC52" i="3"/>
  <c r="AW21" i="3"/>
  <c r="AQ21" i="3"/>
  <c r="AT21" i="3"/>
  <c r="AP21" i="3"/>
  <c r="AY21" i="3"/>
  <c r="AX21" i="3"/>
  <c r="AS21" i="3"/>
  <c r="AR21" i="3"/>
  <c r="AP19" i="3"/>
  <c r="AY72" i="3"/>
  <c r="AX72" i="3"/>
  <c r="AW72" i="3"/>
  <c r="AC50" i="3"/>
  <c r="AD50" i="3"/>
  <c r="AE50" i="3"/>
  <c r="AS32" i="3"/>
  <c r="X25" i="3"/>
  <c r="AT12" i="3"/>
  <c r="AS51" i="3"/>
  <c r="AS33" i="3"/>
  <c r="AR33" i="3"/>
  <c r="AP12" i="3"/>
  <c r="AS13" i="3"/>
  <c r="BL20" i="3"/>
  <c r="AS45" i="3"/>
  <c r="AQ45" i="3"/>
  <c r="AR45" i="3"/>
  <c r="BN51" i="3"/>
  <c r="BJ51" i="3"/>
  <c r="X26" i="3"/>
  <c r="AQ50" i="3"/>
  <c r="AQ44" i="3"/>
  <c r="V37" i="3"/>
  <c r="X38" i="3"/>
  <c r="Z38" i="3"/>
  <c r="W38" i="3"/>
  <c r="Z28" i="3"/>
  <c r="V28" i="3"/>
  <c r="AE28" i="3"/>
  <c r="Y28" i="3"/>
  <c r="AC28" i="3"/>
  <c r="X28" i="3"/>
  <c r="W28" i="3"/>
  <c r="AD28" i="3"/>
  <c r="AT28" i="3"/>
  <c r="AP28" i="3"/>
  <c r="AY28" i="3"/>
  <c r="AS28" i="3"/>
  <c r="AW28" i="3"/>
  <c r="AR28" i="3"/>
  <c r="AQ28" i="3"/>
  <c r="AX28" i="3"/>
  <c r="AT26" i="3"/>
  <c r="BQ21" i="3"/>
  <c r="BK21" i="3"/>
  <c r="BN21" i="3"/>
  <c r="BJ21" i="3"/>
  <c r="BS21" i="3"/>
  <c r="BR21" i="3"/>
  <c r="BM21" i="3"/>
  <c r="BL21" i="3"/>
  <c r="AX34" i="3"/>
  <c r="AR34" i="3"/>
  <c r="AW34" i="3"/>
  <c r="AQ34" i="3"/>
  <c r="AP34" i="3"/>
  <c r="AY34" i="3"/>
  <c r="AT34" i="3"/>
  <c r="AS34" i="3"/>
  <c r="BF97" i="3"/>
  <c r="BB97" i="3"/>
  <c r="AW97" i="3"/>
  <c r="BE97" i="3"/>
  <c r="BA97" i="3"/>
  <c r="BD97" i="3"/>
  <c r="BC97" i="3"/>
  <c r="AY97" i="3"/>
  <c r="AX97" i="3"/>
  <c r="AX14" i="3"/>
  <c r="AR14" i="3"/>
  <c r="AY14" i="3"/>
  <c r="AQ14" i="3"/>
  <c r="AW14" i="3"/>
  <c r="AP14" i="3"/>
  <c r="AS14" i="3"/>
  <c r="AT14" i="3"/>
  <c r="AR12" i="3"/>
  <c r="AE7" i="3"/>
  <c r="Y7" i="3"/>
  <c r="X7" i="3"/>
  <c r="Z7" i="3"/>
  <c r="AD7" i="3"/>
  <c r="W7" i="3"/>
  <c r="AC7" i="3"/>
  <c r="V7" i="3"/>
  <c r="AC44" i="3"/>
  <c r="AD44" i="3"/>
  <c r="AE44" i="3"/>
  <c r="AE5" i="3"/>
  <c r="Y5" i="3"/>
  <c r="X5" i="3"/>
  <c r="AD5" i="3"/>
  <c r="W5" i="3"/>
  <c r="Z5" i="3"/>
  <c r="AC5" i="3"/>
  <c r="V5" i="3"/>
  <c r="X4" i="3"/>
  <c r="Z4" i="3"/>
  <c r="W4" i="3"/>
  <c r="V4" i="3"/>
  <c r="Y4" i="3"/>
  <c r="AQ51" i="3"/>
  <c r="AR51" i="3"/>
  <c r="AT33" i="3"/>
  <c r="AS12" i="3"/>
  <c r="AT13" i="3"/>
  <c r="AT45" i="3"/>
  <c r="AP27" i="3"/>
  <c r="AR27" i="3"/>
  <c r="V25" i="3"/>
  <c r="V26" i="3"/>
  <c r="AT50" i="3"/>
  <c r="AR19" i="3"/>
  <c r="AT44" i="3"/>
  <c r="AP20" i="3"/>
  <c r="AY65" i="3"/>
  <c r="AX65" i="3"/>
  <c r="AW65" i="3"/>
  <c r="AC21" i="3"/>
  <c r="W21" i="3"/>
  <c r="Z21" i="3"/>
  <c r="V21" i="3"/>
  <c r="AE21" i="3"/>
  <c r="AD21" i="3"/>
  <c r="Y21" i="3"/>
  <c r="X21" i="3"/>
  <c r="AE12" i="3"/>
  <c r="AD12" i="3"/>
  <c r="AC12" i="3"/>
  <c r="BZ52" i="3"/>
  <c r="BV52" i="3"/>
  <c r="BQ52" i="3"/>
  <c r="BK52" i="3"/>
  <c r="BY52" i="3"/>
  <c r="BU52" i="3"/>
  <c r="BN52" i="3"/>
  <c r="BJ52" i="3"/>
  <c r="BS52" i="3"/>
  <c r="CB52" i="3"/>
  <c r="BR52" i="3"/>
  <c r="BM52" i="3"/>
  <c r="BL52" i="3"/>
  <c r="BX52" i="3"/>
  <c r="BW52" i="3"/>
  <c r="AD39" i="3"/>
  <c r="X39" i="3"/>
  <c r="AC39" i="3"/>
  <c r="W39" i="3"/>
  <c r="AE39" i="3"/>
  <c r="Z39" i="3"/>
  <c r="Y39" i="3"/>
  <c r="V39" i="3"/>
  <c r="Y37" i="3"/>
  <c r="Z37" i="3"/>
  <c r="W37" i="3"/>
  <c r="V38" i="3"/>
  <c r="AQ12" i="3"/>
  <c r="AE27" i="3"/>
  <c r="Y27" i="3"/>
  <c r="AD27" i="3"/>
  <c r="X27" i="3"/>
  <c r="AC27" i="3"/>
  <c r="Z27" i="3"/>
  <c r="W27" i="3"/>
  <c r="V27" i="3"/>
  <c r="AE32" i="3"/>
  <c r="AD32" i="3"/>
  <c r="AC32" i="3"/>
  <c r="AC6" i="3"/>
  <c r="W6" i="3"/>
  <c r="AE6" i="3"/>
  <c r="X6" i="3"/>
  <c r="AD6" i="3"/>
  <c r="V6" i="3"/>
  <c r="Y6" i="3"/>
  <c r="Z6" i="3"/>
  <c r="Z40" i="3"/>
  <c r="AE40" i="3"/>
  <c r="AD40" i="3"/>
  <c r="W40" i="3"/>
  <c r="AC40" i="3"/>
  <c r="V40" i="3"/>
  <c r="Y40" i="3"/>
  <c r="X40" i="3"/>
  <c r="AP26" i="3"/>
  <c r="AT51" i="3"/>
  <c r="AQ33" i="3"/>
  <c r="AR26" i="3"/>
  <c r="AP13" i="3"/>
  <c r="AQ13" i="3"/>
  <c r="BJ20" i="3"/>
  <c r="AP45" i="3"/>
  <c r="AQ27" i="3"/>
  <c r="AR32" i="3"/>
  <c r="BK51" i="3"/>
  <c r="BL51" i="3"/>
  <c r="Y26" i="3"/>
  <c r="W26" i="3"/>
  <c r="AT32" i="3"/>
  <c r="AP50" i="3"/>
  <c r="AT19" i="3"/>
  <c r="AP44" i="3"/>
  <c r="AQ20" i="3"/>
  <c r="AT20" i="3"/>
  <c r="AS50" i="3"/>
  <c r="AU40" i="3"/>
  <c r="AZ40" i="3"/>
  <c r="AV38" i="3"/>
  <c r="AN92" i="3" s="1"/>
  <c r="AO92" i="3" s="1"/>
  <c r="AV39" i="3"/>
  <c r="BO27" i="3"/>
  <c r="BO13" i="3"/>
  <c r="BO39" i="3"/>
  <c r="AU38" i="3"/>
  <c r="AU6" i="3"/>
  <c r="AB37" i="3"/>
  <c r="AF37" i="3" s="1"/>
  <c r="AU39" i="3"/>
  <c r="AU5" i="3"/>
  <c r="BO33" i="3"/>
  <c r="BO34" i="3"/>
  <c r="BO40" i="3"/>
  <c r="P46" i="3"/>
  <c r="U46" i="3" s="1"/>
  <c r="U45" i="3"/>
  <c r="BP40" i="3"/>
  <c r="BT40" i="3" s="1"/>
  <c r="AU12" i="3"/>
  <c r="BP51" i="3"/>
  <c r="BT51" i="3" s="1"/>
  <c r="BU14" i="3"/>
  <c r="BU13" i="3"/>
  <c r="BU27" i="3"/>
  <c r="BU28" i="3"/>
  <c r="AV65" i="3"/>
  <c r="AZ65" i="3" s="1"/>
  <c r="BF65" i="3"/>
  <c r="BA65" i="3"/>
  <c r="BD65" i="3"/>
  <c r="BB65" i="3"/>
  <c r="BC65" i="3"/>
  <c r="BE65" i="3"/>
  <c r="BG65" i="3"/>
  <c r="BA28" i="3"/>
  <c r="BD28" i="3"/>
  <c r="BB28" i="3"/>
  <c r="AV28" i="3"/>
  <c r="AZ28" i="3" s="1"/>
  <c r="BF28" i="3"/>
  <c r="AN80" i="3"/>
  <c r="AO80" i="3" s="1"/>
  <c r="AP79" i="3" s="1"/>
  <c r="BG28" i="3"/>
  <c r="BE28" i="3"/>
  <c r="BH28" i="3"/>
  <c r="BC28" i="3"/>
  <c r="AV46" i="3"/>
  <c r="AZ46" i="3" s="1"/>
  <c r="AO98" i="3"/>
  <c r="BF34" i="3"/>
  <c r="BH34" i="3"/>
  <c r="AN86" i="3"/>
  <c r="AO86" i="3" s="1"/>
  <c r="AS85" i="3" s="1"/>
  <c r="BD34" i="3"/>
  <c r="BC34" i="3"/>
  <c r="AU32" i="3"/>
  <c r="BA34" i="3"/>
  <c r="BB34" i="3"/>
  <c r="BG34" i="3"/>
  <c r="AV34" i="3"/>
  <c r="AZ34" i="3" s="1"/>
  <c r="BE34" i="3"/>
  <c r="BB21" i="3"/>
  <c r="BE21" i="3"/>
  <c r="BH21" i="3"/>
  <c r="AN73" i="3"/>
  <c r="AO73" i="3" s="1"/>
  <c r="AS72" i="3" s="1"/>
  <c r="BD21" i="3"/>
  <c r="BG21" i="3"/>
  <c r="BF21" i="3"/>
  <c r="BA21" i="3"/>
  <c r="AV21" i="3"/>
  <c r="AZ21" i="3" s="1"/>
  <c r="BC21" i="3"/>
  <c r="U13" i="3"/>
  <c r="P14" i="3"/>
  <c r="U14" i="3" s="1"/>
  <c r="BC85" i="3"/>
  <c r="BA85" i="3"/>
  <c r="BE85" i="3"/>
  <c r="BF85" i="3"/>
  <c r="AV85" i="3"/>
  <c r="AZ85" i="3" s="1"/>
  <c r="BG85" i="3"/>
  <c r="BD85" i="3"/>
  <c r="BB85" i="3"/>
  <c r="BD79" i="3"/>
  <c r="BC79" i="3"/>
  <c r="BF79" i="3"/>
  <c r="AV79" i="3"/>
  <c r="AZ79" i="3" s="1"/>
  <c r="BA79" i="3"/>
  <c r="BG79" i="3"/>
  <c r="BE79" i="3"/>
  <c r="BB79" i="3"/>
  <c r="BP20" i="3"/>
  <c r="BT20" i="3" s="1"/>
  <c r="AU13" i="3"/>
  <c r="AV14" i="3"/>
  <c r="AZ14" i="3" s="1"/>
  <c r="BB14" i="3"/>
  <c r="AN66" i="3"/>
  <c r="AO66" i="3" s="1"/>
  <c r="BF14" i="3"/>
  <c r="BE14" i="3"/>
  <c r="BH14" i="3"/>
  <c r="BG14" i="3"/>
  <c r="BC14" i="3"/>
  <c r="BA14" i="3"/>
  <c r="BD14" i="3"/>
  <c r="BP34" i="3"/>
  <c r="BT34" i="3" s="1"/>
  <c r="BW33" i="3" s="1"/>
  <c r="P34" i="3"/>
  <c r="U34" i="3" s="1"/>
  <c r="U33" i="3"/>
  <c r="BO20" i="3"/>
  <c r="BG97" i="3"/>
  <c r="AV97" i="3"/>
  <c r="AZ97" i="3" s="1"/>
  <c r="BO14" i="3"/>
  <c r="BX14" i="3" s="1"/>
  <c r="BO28" i="3"/>
  <c r="BZ27" i="3" s="1"/>
  <c r="BZ34" i="3"/>
  <c r="BC103" i="3"/>
  <c r="BE103" i="3"/>
  <c r="AV103" i="3"/>
  <c r="AZ103" i="3" s="1"/>
  <c r="BB103" i="3"/>
  <c r="BD103" i="3"/>
  <c r="BF103" i="3"/>
  <c r="BA103" i="3"/>
  <c r="BG103" i="3"/>
  <c r="AV52" i="3"/>
  <c r="AZ52" i="3" s="1"/>
  <c r="AO104" i="3"/>
  <c r="AQ103" i="3" s="1"/>
  <c r="BC72" i="3"/>
  <c r="BF72" i="3"/>
  <c r="BE72" i="3"/>
  <c r="BD72" i="3"/>
  <c r="BG72" i="3"/>
  <c r="BB72" i="3"/>
  <c r="BA72" i="3"/>
  <c r="AV72" i="3"/>
  <c r="AZ72" i="3" s="1"/>
  <c r="U51" i="3"/>
  <c r="P52" i="3"/>
  <c r="U52" i="3" s="1"/>
  <c r="BX7" i="3"/>
  <c r="BZ7" i="3"/>
  <c r="BY6" i="3"/>
  <c r="BV6" i="3"/>
  <c r="BW7" i="3"/>
  <c r="BZ6" i="3"/>
  <c r="BX6" i="3"/>
  <c r="BY7" i="3"/>
  <c r="BV7" i="3"/>
  <c r="BW6" i="3"/>
  <c r="AU7" i="3"/>
  <c r="AZ7" i="3"/>
  <c r="AV6" i="3"/>
  <c r="AN59" i="3" s="1"/>
  <c r="AO59" i="3" s="1"/>
  <c r="AZ5" i="3"/>
  <c r="Y18" i="3" l="1"/>
  <c r="V18" i="3"/>
  <c r="Z18" i="3"/>
  <c r="V20" i="3"/>
  <c r="W19" i="3"/>
  <c r="X19" i="3"/>
  <c r="Z19" i="3"/>
  <c r="W20" i="3"/>
  <c r="Z20" i="3"/>
  <c r="X18" i="3"/>
  <c r="Y19" i="3"/>
  <c r="AA19" i="3" s="1"/>
  <c r="X20" i="3"/>
  <c r="W50" i="3"/>
  <c r="Y31" i="3"/>
  <c r="Y11" i="3"/>
  <c r="X43" i="3"/>
  <c r="AW66" i="3"/>
  <c r="AQ66" i="3"/>
  <c r="AT66" i="3"/>
  <c r="AP66" i="3"/>
  <c r="AY66" i="3"/>
  <c r="AX66" i="3"/>
  <c r="AS66" i="3"/>
  <c r="AR66" i="3"/>
  <c r="BC98" i="3"/>
  <c r="AX98" i="3"/>
  <c r="AR98" i="3"/>
  <c r="BF98" i="3"/>
  <c r="BB98" i="3"/>
  <c r="AW98" i="3"/>
  <c r="AQ98" i="3"/>
  <c r="BE98" i="3"/>
  <c r="AT98" i="3"/>
  <c r="BD98" i="3"/>
  <c r="AS98" i="3"/>
  <c r="AP98" i="3"/>
  <c r="BA98" i="3"/>
  <c r="AY98" i="3"/>
  <c r="AP96" i="3"/>
  <c r="AR84" i="3"/>
  <c r="X32" i="3"/>
  <c r="Z12" i="3"/>
  <c r="AQ65" i="3"/>
  <c r="Z43" i="3"/>
  <c r="AQ78" i="3"/>
  <c r="AP71" i="3"/>
  <c r="AQ102" i="3"/>
  <c r="AQ96" i="3"/>
  <c r="AQ64" i="3"/>
  <c r="AR71" i="3"/>
  <c r="X50" i="3"/>
  <c r="Z50" i="3"/>
  <c r="AQ72" i="3"/>
  <c r="AP103" i="3"/>
  <c r="V31" i="3"/>
  <c r="AR96" i="3"/>
  <c r="AW104" i="3"/>
  <c r="AQ104" i="3"/>
  <c r="AT104" i="3"/>
  <c r="AP104" i="3"/>
  <c r="AS104" i="3"/>
  <c r="AR104" i="3"/>
  <c r="AY104" i="3"/>
  <c r="AX104" i="3"/>
  <c r="AR102" i="3"/>
  <c r="AP102" i="3"/>
  <c r="AD14" i="3"/>
  <c r="X14" i="3"/>
  <c r="Z14" i="3"/>
  <c r="Y14" i="3"/>
  <c r="V14" i="3"/>
  <c r="W14" i="3"/>
  <c r="AE14" i="3"/>
  <c r="AC14" i="3"/>
  <c r="AX73" i="3"/>
  <c r="AR73" i="3"/>
  <c r="AW73" i="3"/>
  <c r="AQ73" i="3"/>
  <c r="AT73" i="3"/>
  <c r="AS73" i="3"/>
  <c r="AY73" i="3"/>
  <c r="AP73" i="3"/>
  <c r="AT71" i="3"/>
  <c r="AW86" i="3"/>
  <c r="AQ86" i="3"/>
  <c r="AS86" i="3"/>
  <c r="AY86" i="3"/>
  <c r="AR86" i="3"/>
  <c r="AX86" i="3"/>
  <c r="AT86" i="3"/>
  <c r="AP86" i="3"/>
  <c r="AS84" i="3"/>
  <c r="AW92" i="3"/>
  <c r="AQ92" i="3"/>
  <c r="AP92" i="3"/>
  <c r="AR92" i="3"/>
  <c r="AY92" i="3"/>
  <c r="AX92" i="3"/>
  <c r="Y43" i="3"/>
  <c r="AT78" i="3"/>
  <c r="AQ71" i="3"/>
  <c r="V32" i="3"/>
  <c r="W12" i="3"/>
  <c r="X12" i="3"/>
  <c r="AT65" i="3"/>
  <c r="AR65" i="3"/>
  <c r="AS78" i="3"/>
  <c r="AP84" i="3"/>
  <c r="Y44" i="3"/>
  <c r="V44" i="3"/>
  <c r="W44" i="3"/>
  <c r="AR97" i="3"/>
  <c r="AP97" i="3"/>
  <c r="AQ97" i="3"/>
  <c r="Z11" i="3"/>
  <c r="V43" i="3"/>
  <c r="AP64" i="3"/>
  <c r="AP78" i="3"/>
  <c r="AR72" i="3"/>
  <c r="AT85" i="3"/>
  <c r="W43" i="3"/>
  <c r="AC51" i="3"/>
  <c r="W51" i="3"/>
  <c r="Z51" i="3"/>
  <c r="V51" i="3"/>
  <c r="AE51" i="3"/>
  <c r="AD51" i="3"/>
  <c r="Y51" i="3"/>
  <c r="X51" i="3"/>
  <c r="AD46" i="3"/>
  <c r="X46" i="3"/>
  <c r="AC46" i="3"/>
  <c r="W46" i="3"/>
  <c r="Z46" i="3"/>
  <c r="Y46" i="3"/>
  <c r="AE46" i="3"/>
  <c r="V46" i="3"/>
  <c r="AY59" i="3"/>
  <c r="AX59" i="3"/>
  <c r="AW59" i="3"/>
  <c r="AE33" i="3"/>
  <c r="Y33" i="3"/>
  <c r="AD33" i="3"/>
  <c r="X33" i="3"/>
  <c r="AC33" i="3"/>
  <c r="Z33" i="3"/>
  <c r="W33" i="3"/>
  <c r="V33" i="3"/>
  <c r="W31" i="3"/>
  <c r="AC13" i="3"/>
  <c r="W13" i="3"/>
  <c r="Z13" i="3"/>
  <c r="Y13" i="3"/>
  <c r="AD13" i="3"/>
  <c r="X13" i="3"/>
  <c r="V13" i="3"/>
  <c r="AE13" i="3"/>
  <c r="AW80" i="3"/>
  <c r="AQ80" i="3"/>
  <c r="AT80" i="3"/>
  <c r="AU80" i="3" s="1"/>
  <c r="AS80" i="3"/>
  <c r="AR80" i="3"/>
  <c r="AP80" i="3"/>
  <c r="AY80" i="3"/>
  <c r="AX80" i="3"/>
  <c r="AR78" i="3"/>
  <c r="AS64" i="3"/>
  <c r="AS71" i="3"/>
  <c r="AU71" i="3" s="1"/>
  <c r="Y32" i="3"/>
  <c r="AT64" i="3"/>
  <c r="Y12" i="3"/>
  <c r="AS102" i="3"/>
  <c r="W49" i="3"/>
  <c r="AQ84" i="3"/>
  <c r="X44" i="3"/>
  <c r="Z44" i="3"/>
  <c r="AT97" i="3"/>
  <c r="V11" i="3"/>
  <c r="W11" i="3"/>
  <c r="V49" i="3"/>
  <c r="Z31" i="3"/>
  <c r="AP72" i="3"/>
  <c r="AR79" i="3"/>
  <c r="AT79" i="3"/>
  <c r="AS103" i="3"/>
  <c r="AR103" i="3"/>
  <c r="AP85" i="3"/>
  <c r="AR85" i="3"/>
  <c r="AT96" i="3"/>
  <c r="Y49" i="3"/>
  <c r="Z52" i="3"/>
  <c r="V52" i="3"/>
  <c r="AE52" i="3"/>
  <c r="Y52" i="3"/>
  <c r="AD52" i="3"/>
  <c r="AC52" i="3"/>
  <c r="X52" i="3"/>
  <c r="W52" i="3"/>
  <c r="CF34" i="3"/>
  <c r="AE34" i="3"/>
  <c r="Y34" i="3"/>
  <c r="CE34" i="3"/>
  <c r="AD34" i="3"/>
  <c r="X34" i="3"/>
  <c r="CD34" i="3"/>
  <c r="W34" i="3"/>
  <c r="V34" i="3"/>
  <c r="AC34" i="3"/>
  <c r="Z34" i="3"/>
  <c r="AC45" i="3"/>
  <c r="W45" i="3"/>
  <c r="Z45" i="3"/>
  <c r="V45" i="3"/>
  <c r="AE45" i="3"/>
  <c r="AD45" i="3"/>
  <c r="Y45" i="3"/>
  <c r="X45" i="3"/>
  <c r="X11" i="3"/>
  <c r="X31" i="3"/>
  <c r="Z32" i="3"/>
  <c r="W32" i="3"/>
  <c r="V12" i="3"/>
  <c r="AP65" i="3"/>
  <c r="AS65" i="3"/>
  <c r="AT102" i="3"/>
  <c r="Z49" i="3"/>
  <c r="AS97" i="3"/>
  <c r="AS96" i="3"/>
  <c r="X49" i="3"/>
  <c r="AT84" i="3"/>
  <c r="Y50" i="3"/>
  <c r="V50" i="3"/>
  <c r="AT72" i="3"/>
  <c r="AU72" i="3" s="1"/>
  <c r="AS79" i="3"/>
  <c r="AQ79" i="3"/>
  <c r="AT103" i="3"/>
  <c r="AU103" i="3" s="1"/>
  <c r="AQ85" i="3"/>
  <c r="AR64" i="3"/>
  <c r="AA26" i="3"/>
  <c r="AU50" i="3"/>
  <c r="BB40" i="3"/>
  <c r="AZ39" i="3"/>
  <c r="BA40" i="3" s="1"/>
  <c r="AN91" i="3"/>
  <c r="AO91" i="3" s="1"/>
  <c r="AZ38" i="3"/>
  <c r="BE40" i="3" s="1"/>
  <c r="AN90" i="3"/>
  <c r="AO90" i="3" s="1"/>
  <c r="AB40" i="3"/>
  <c r="AF40" i="3" s="1"/>
  <c r="AU78" i="3"/>
  <c r="AA6" i="3"/>
  <c r="AA38" i="3"/>
  <c r="AB19" i="3"/>
  <c r="AF19" i="3" s="1"/>
  <c r="AB39" i="3"/>
  <c r="AF39" i="3" s="1"/>
  <c r="AA40" i="3"/>
  <c r="AB20" i="3"/>
  <c r="AF20" i="3" s="1"/>
  <c r="AU51" i="3"/>
  <c r="AA37" i="3"/>
  <c r="AB28" i="3"/>
  <c r="AF28" i="3" s="1"/>
  <c r="AA28" i="3"/>
  <c r="AU27" i="3"/>
  <c r="AB38" i="3"/>
  <c r="AU20" i="3"/>
  <c r="AA39" i="3"/>
  <c r="AB7" i="3"/>
  <c r="AF7" i="3" s="1"/>
  <c r="AU45" i="3"/>
  <c r="AB18" i="3"/>
  <c r="AF18" i="3" s="1"/>
  <c r="AU14" i="3"/>
  <c r="AU28" i="3"/>
  <c r="AB6" i="3"/>
  <c r="AF6" i="3" s="1"/>
  <c r="AB27" i="3"/>
  <c r="AF27" i="3" s="1"/>
  <c r="AB21" i="3"/>
  <c r="AF21" i="3" s="1"/>
  <c r="AA18" i="3"/>
  <c r="BO52" i="3"/>
  <c r="AA44" i="3"/>
  <c r="AA43" i="3"/>
  <c r="AB25" i="3"/>
  <c r="BO51" i="3"/>
  <c r="AU102" i="3"/>
  <c r="AA20" i="3"/>
  <c r="AA27" i="3"/>
  <c r="AU33" i="3"/>
  <c r="AU44" i="3"/>
  <c r="BP52" i="3"/>
  <c r="BT52" i="3" s="1"/>
  <c r="BU39" i="3"/>
  <c r="BX39" i="3"/>
  <c r="BW40" i="3"/>
  <c r="BZ40" i="3"/>
  <c r="BV39" i="3"/>
  <c r="BW39" i="3"/>
  <c r="BY40" i="3"/>
  <c r="BZ39" i="3"/>
  <c r="BV40" i="3"/>
  <c r="BX40" i="3"/>
  <c r="BY39" i="3"/>
  <c r="BU40" i="3"/>
  <c r="CA40" i="3" s="1"/>
  <c r="BA104" i="3"/>
  <c r="AV104" i="3"/>
  <c r="AZ104" i="3" s="1"/>
  <c r="BC104" i="3"/>
  <c r="BD104" i="3"/>
  <c r="BE104" i="3"/>
  <c r="BF104" i="3"/>
  <c r="BG104" i="3"/>
  <c r="BB104" i="3"/>
  <c r="AB5" i="3"/>
  <c r="AB4" i="3"/>
  <c r="AA5" i="3"/>
  <c r="BV14" i="3"/>
  <c r="AU26" i="3"/>
  <c r="BO21" i="3"/>
  <c r="BV27" i="3"/>
  <c r="BX27" i="3"/>
  <c r="BX33" i="3"/>
  <c r="BY13" i="3"/>
  <c r="BW14" i="3"/>
  <c r="AA7" i="3"/>
  <c r="AF25" i="3"/>
  <c r="BZ20" i="3"/>
  <c r="BP21" i="3"/>
  <c r="BT21" i="3" s="1"/>
  <c r="BV20" i="3" s="1"/>
  <c r="AB26" i="3"/>
  <c r="AF26" i="3" s="1"/>
  <c r="AU21" i="3"/>
  <c r="BE73" i="3"/>
  <c r="BD73" i="3"/>
  <c r="BB73" i="3"/>
  <c r="BC73" i="3"/>
  <c r="BF73" i="3"/>
  <c r="AV73" i="3"/>
  <c r="AZ73" i="3" s="1"/>
  <c r="BG73" i="3"/>
  <c r="BA73" i="3"/>
  <c r="AV98" i="3"/>
  <c r="AZ98" i="3" s="1"/>
  <c r="BG98" i="3"/>
  <c r="BX28" i="3"/>
  <c r="BY28" i="3"/>
  <c r="BW27" i="3"/>
  <c r="BZ33" i="3"/>
  <c r="BZ13" i="3"/>
  <c r="BZ14" i="3"/>
  <c r="BW34" i="3"/>
  <c r="BU34" i="3"/>
  <c r="BY34" i="3"/>
  <c r="BV34" i="3"/>
  <c r="BX34" i="3"/>
  <c r="AA21" i="3"/>
  <c r="AU19" i="3"/>
  <c r="AA25" i="3"/>
  <c r="AU46" i="3"/>
  <c r="BC80" i="3"/>
  <c r="BD80" i="3"/>
  <c r="AV80" i="3"/>
  <c r="AZ80" i="3" s="1"/>
  <c r="BF80" i="3"/>
  <c r="BE80" i="3"/>
  <c r="BG80" i="3"/>
  <c r="BB80" i="3"/>
  <c r="BA80" i="3"/>
  <c r="BW28" i="3"/>
  <c r="BZ28" i="3"/>
  <c r="BY27" i="3"/>
  <c r="BY33" i="3"/>
  <c r="BU33" i="3"/>
  <c r="BW13" i="3"/>
  <c r="BY14" i="3"/>
  <c r="CA14" i="3" s="1"/>
  <c r="AU52" i="3"/>
  <c r="AA4" i="3"/>
  <c r="BD66" i="3"/>
  <c r="BG66" i="3"/>
  <c r="BB66" i="3"/>
  <c r="BA66" i="3"/>
  <c r="BC66" i="3"/>
  <c r="AU66" i="3"/>
  <c r="AV66" i="3"/>
  <c r="AZ66" i="3" s="1"/>
  <c r="BF66" i="3"/>
  <c r="BE66" i="3"/>
  <c r="AU34" i="3"/>
  <c r="BG86" i="3"/>
  <c r="BD86" i="3"/>
  <c r="BE86" i="3"/>
  <c r="BF86" i="3"/>
  <c r="BC86" i="3"/>
  <c r="AU86" i="3"/>
  <c r="BA86" i="3"/>
  <c r="BB86" i="3"/>
  <c r="AV86" i="3"/>
  <c r="AZ86" i="3" s="1"/>
  <c r="BV28" i="3"/>
  <c r="CA28" i="3" s="1"/>
  <c r="CA27" i="3"/>
  <c r="BV33" i="3"/>
  <c r="BX13" i="3"/>
  <c r="BV13" i="3"/>
  <c r="CA13" i="3" s="1"/>
  <c r="CA45" i="3"/>
  <c r="CA46" i="3"/>
  <c r="CA7" i="3"/>
  <c r="CA6" i="3"/>
  <c r="BF59" i="3"/>
  <c r="BG59" i="3"/>
  <c r="BB59" i="3"/>
  <c r="BE59" i="3"/>
  <c r="BD59" i="3"/>
  <c r="BC59" i="3"/>
  <c r="BA59" i="3"/>
  <c r="AV59" i="3"/>
  <c r="AZ59" i="3" s="1"/>
  <c r="AN57" i="3"/>
  <c r="AO57" i="3" s="1"/>
  <c r="AZ6" i="3"/>
  <c r="BE5" i="3" s="1"/>
  <c r="AN58" i="3"/>
  <c r="AO58" i="3" s="1"/>
  <c r="BA7" i="3"/>
  <c r="AU79" i="3" l="1"/>
  <c r="AG20" i="3"/>
  <c r="AT92" i="3"/>
  <c r="AY57" i="3"/>
  <c r="AS57" i="3"/>
  <c r="AX57" i="3"/>
  <c r="AR57" i="3"/>
  <c r="AQ57" i="3"/>
  <c r="AP57" i="3"/>
  <c r="AW57" i="3"/>
  <c r="AT57" i="3"/>
  <c r="AX91" i="3"/>
  <c r="AR91" i="3"/>
  <c r="AW91" i="3"/>
  <c r="AQ91" i="3"/>
  <c r="AT91" i="3"/>
  <c r="AS91" i="3"/>
  <c r="AY91" i="3"/>
  <c r="AP91" i="3"/>
  <c r="AP59" i="3"/>
  <c r="AR59" i="3"/>
  <c r="AW58" i="3"/>
  <c r="AQ58" i="3"/>
  <c r="AT58" i="3"/>
  <c r="AP58" i="3"/>
  <c r="AY58" i="3"/>
  <c r="AX58" i="3"/>
  <c r="AS58" i="3"/>
  <c r="AR58" i="3"/>
  <c r="AY90" i="3"/>
  <c r="AS90" i="3"/>
  <c r="AX90" i="3"/>
  <c r="AR90" i="3"/>
  <c r="AW90" i="3"/>
  <c r="AT90" i="3"/>
  <c r="AQ90" i="3"/>
  <c r="AP90" i="3"/>
  <c r="AQ59" i="3"/>
  <c r="AT59" i="3"/>
  <c r="AS59" i="3"/>
  <c r="AS92" i="3"/>
  <c r="AV92" i="3"/>
  <c r="AZ92" i="3" s="1"/>
  <c r="BC40" i="3"/>
  <c r="BD40" i="3"/>
  <c r="BF40" i="3"/>
  <c r="AV90" i="3"/>
  <c r="AZ90" i="3" s="1"/>
  <c r="BD38" i="3"/>
  <c r="BF38" i="3"/>
  <c r="BB38" i="3"/>
  <c r="BC38" i="3"/>
  <c r="BA38" i="3"/>
  <c r="BE38" i="3"/>
  <c r="BA39" i="3"/>
  <c r="BB39" i="3"/>
  <c r="BE39" i="3"/>
  <c r="BD39" i="3"/>
  <c r="BC39" i="3"/>
  <c r="BF39" i="3"/>
  <c r="T92" i="3"/>
  <c r="U92" i="3" s="1"/>
  <c r="AA46" i="3"/>
  <c r="AB45" i="3"/>
  <c r="AF45" i="3" s="1"/>
  <c r="AB51" i="3"/>
  <c r="AF51" i="3" s="1"/>
  <c r="AH19" i="3"/>
  <c r="AA11" i="3"/>
  <c r="AG19" i="3"/>
  <c r="T70" i="3"/>
  <c r="U70" i="3" s="1"/>
  <c r="AF38" i="3"/>
  <c r="AK39" i="3" s="1"/>
  <c r="T90" i="3"/>
  <c r="U90" i="3" s="1"/>
  <c r="AA32" i="3"/>
  <c r="AB52" i="3"/>
  <c r="AF52" i="3" s="1"/>
  <c r="BW20" i="3"/>
  <c r="T91" i="3"/>
  <c r="U91" i="3" s="1"/>
  <c r="T89" i="3"/>
  <c r="U89" i="3" s="1"/>
  <c r="T77" i="3"/>
  <c r="U77" i="3" s="1"/>
  <c r="BU20" i="3"/>
  <c r="AB33" i="3"/>
  <c r="AF33" i="3" s="1"/>
  <c r="AU97" i="3"/>
  <c r="AB14" i="3"/>
  <c r="AF14" i="3" s="1"/>
  <c r="AJ19" i="3"/>
  <c r="AU98" i="3"/>
  <c r="AU73" i="3"/>
  <c r="AB34" i="3"/>
  <c r="AF34" i="3" s="1"/>
  <c r="AL27" i="3"/>
  <c r="AU85" i="3"/>
  <c r="AK28" i="3"/>
  <c r="AB12" i="3"/>
  <c r="AF12" i="3" s="1"/>
  <c r="AI20" i="3"/>
  <c r="AL19" i="3"/>
  <c r="AI19" i="3"/>
  <c r="AA49" i="3"/>
  <c r="AB13" i="3"/>
  <c r="AB43" i="3"/>
  <c r="T73" i="3"/>
  <c r="U73" i="3" s="1"/>
  <c r="AH20" i="3"/>
  <c r="AJ20" i="3"/>
  <c r="AI27" i="3"/>
  <c r="AJ28" i="3"/>
  <c r="AI28" i="3"/>
  <c r="AG21" i="3"/>
  <c r="AL20" i="3"/>
  <c r="AH27" i="3"/>
  <c r="AJ27" i="3"/>
  <c r="AH28" i="3"/>
  <c r="T72" i="3"/>
  <c r="U72" i="3" s="1"/>
  <c r="AL21" i="3"/>
  <c r="AK19" i="3"/>
  <c r="AB49" i="3"/>
  <c r="AB50" i="3"/>
  <c r="AF50" i="3" s="1"/>
  <c r="T59" i="3"/>
  <c r="U59" i="3" s="1"/>
  <c r="T79" i="3"/>
  <c r="U79" i="3" s="1"/>
  <c r="T80" i="3"/>
  <c r="U80" i="3" s="1"/>
  <c r="AK20" i="3"/>
  <c r="AK27" i="3"/>
  <c r="AG27" i="3"/>
  <c r="AL28" i="3"/>
  <c r="AJ21" i="3"/>
  <c r="AI21" i="3"/>
  <c r="T58" i="3"/>
  <c r="U58" i="3" s="1"/>
  <c r="AB46" i="3"/>
  <c r="AG28" i="3"/>
  <c r="AH21" i="3"/>
  <c r="AK21" i="3"/>
  <c r="AA13" i="3"/>
  <c r="AA33" i="3"/>
  <c r="CA39" i="3"/>
  <c r="AA34" i="3"/>
  <c r="AB44" i="3"/>
  <c r="AU84" i="3"/>
  <c r="AA14" i="3"/>
  <c r="AA45" i="3"/>
  <c r="CB14" i="3"/>
  <c r="CB13" i="3"/>
  <c r="AA50" i="3"/>
  <c r="AJ18" i="3"/>
  <c r="AG18" i="3"/>
  <c r="AL18" i="3"/>
  <c r="AH18" i="3"/>
  <c r="AI18" i="3"/>
  <c r="AK18" i="3"/>
  <c r="AB11" i="3"/>
  <c r="AF5" i="3"/>
  <c r="T57" i="3"/>
  <c r="U57" i="3" s="1"/>
  <c r="AU104" i="3"/>
  <c r="AA51" i="3"/>
  <c r="AG26" i="3"/>
  <c r="AJ26" i="3"/>
  <c r="AL26" i="3"/>
  <c r="AI26" i="3"/>
  <c r="AH26" i="3"/>
  <c r="AK26" i="3"/>
  <c r="AU64" i="3"/>
  <c r="CA33" i="3"/>
  <c r="CA34" i="3"/>
  <c r="AA52" i="3"/>
  <c r="AU96" i="3"/>
  <c r="BY21" i="3"/>
  <c r="BW21" i="3"/>
  <c r="BZ21" i="3"/>
  <c r="BV21" i="3"/>
  <c r="BU21" i="3"/>
  <c r="BX21" i="3"/>
  <c r="BX20" i="3"/>
  <c r="T71" i="3"/>
  <c r="U71" i="3" s="1"/>
  <c r="T78" i="3"/>
  <c r="U78" i="3" s="1"/>
  <c r="BY20" i="3"/>
  <c r="AB31" i="3"/>
  <c r="CB27" i="3"/>
  <c r="CB28" i="3"/>
  <c r="AI25" i="3"/>
  <c r="AL25" i="3"/>
  <c r="AJ25" i="3"/>
  <c r="AG25" i="3"/>
  <c r="AK25" i="3"/>
  <c r="AH25" i="3"/>
  <c r="AU65" i="3"/>
  <c r="AA12" i="3"/>
  <c r="AB32" i="3"/>
  <c r="AF32" i="3" s="1"/>
  <c r="AA31" i="3"/>
  <c r="AF4" i="3"/>
  <c r="T56" i="3"/>
  <c r="U56" i="3" s="1"/>
  <c r="CB6" i="3"/>
  <c r="CB7" i="3"/>
  <c r="BE7" i="3"/>
  <c r="BD7" i="3"/>
  <c r="BA5" i="3"/>
  <c r="BC5" i="3"/>
  <c r="BB7" i="3"/>
  <c r="BF7" i="3"/>
  <c r="BB5" i="3"/>
  <c r="BF5" i="3"/>
  <c r="BG7" i="3"/>
  <c r="BC7" i="3"/>
  <c r="BB58" i="3"/>
  <c r="BC58" i="3"/>
  <c r="BD58" i="3"/>
  <c r="BE58" i="3"/>
  <c r="AV58" i="3"/>
  <c r="AZ58" i="3" s="1"/>
  <c r="BF58" i="3"/>
  <c r="BA58" i="3"/>
  <c r="BG58" i="3"/>
  <c r="BG57" i="3"/>
  <c r="BB57" i="3"/>
  <c r="BF57" i="3"/>
  <c r="BA57" i="3"/>
  <c r="BC57" i="3"/>
  <c r="BD57" i="3"/>
  <c r="BE57" i="3"/>
  <c r="AV57" i="3"/>
  <c r="AZ57" i="3" s="1"/>
  <c r="BB6" i="3"/>
  <c r="BF6" i="3"/>
  <c r="BE6" i="3"/>
  <c r="BD6" i="3"/>
  <c r="BA6" i="3"/>
  <c r="BC6" i="3"/>
  <c r="BD5" i="3"/>
  <c r="AC56" i="3" l="1"/>
  <c r="W56" i="3"/>
  <c r="Z56" i="3"/>
  <c r="V56" i="3"/>
  <c r="Y56" i="3"/>
  <c r="X56" i="3"/>
  <c r="AE56" i="3"/>
  <c r="AD56" i="3"/>
  <c r="AD78" i="3"/>
  <c r="X78" i="3"/>
  <c r="AC78" i="3"/>
  <c r="W78" i="3"/>
  <c r="V78" i="3"/>
  <c r="AE78" i="3"/>
  <c r="Z78" i="3"/>
  <c r="Y78" i="3"/>
  <c r="Z72" i="3"/>
  <c r="V72" i="3"/>
  <c r="AE72" i="3"/>
  <c r="Y72" i="3"/>
  <c r="AD72" i="3"/>
  <c r="AC72" i="3"/>
  <c r="X72" i="3"/>
  <c r="W72" i="3"/>
  <c r="AF43" i="3"/>
  <c r="T95" i="3"/>
  <c r="T96" i="3"/>
  <c r="T97" i="3"/>
  <c r="T98" i="3"/>
  <c r="AD91" i="3"/>
  <c r="X91" i="3"/>
  <c r="AC91" i="3"/>
  <c r="W91" i="3"/>
  <c r="Z91" i="3"/>
  <c r="Y91" i="3"/>
  <c r="V91" i="3"/>
  <c r="AE91" i="3"/>
  <c r="AE90" i="3"/>
  <c r="Y90" i="3"/>
  <c r="AD90" i="3"/>
  <c r="X90" i="3"/>
  <c r="AC90" i="3"/>
  <c r="Z90" i="3"/>
  <c r="W90" i="3"/>
  <c r="V90" i="3"/>
  <c r="AD71" i="3"/>
  <c r="X71" i="3"/>
  <c r="AC71" i="3"/>
  <c r="W71" i="3"/>
  <c r="V71" i="3"/>
  <c r="AE71" i="3"/>
  <c r="Z71" i="3"/>
  <c r="Y71" i="3"/>
  <c r="AC80" i="3"/>
  <c r="W80" i="3"/>
  <c r="AE80" i="3"/>
  <c r="X80" i="3"/>
  <c r="AD80" i="3"/>
  <c r="V80" i="3"/>
  <c r="Z80" i="3"/>
  <c r="Y80" i="3"/>
  <c r="AF49" i="3"/>
  <c r="T101" i="3"/>
  <c r="T102" i="3"/>
  <c r="T104" i="3"/>
  <c r="T103" i="3"/>
  <c r="AC92" i="3"/>
  <c r="W92" i="3"/>
  <c r="Z92" i="3"/>
  <c r="V92" i="3"/>
  <c r="Y92" i="3"/>
  <c r="X92" i="3"/>
  <c r="AE92" i="3"/>
  <c r="AD92" i="3"/>
  <c r="AE57" i="3"/>
  <c r="Y57" i="3"/>
  <c r="AD57" i="3"/>
  <c r="X57" i="3"/>
  <c r="W57" i="3"/>
  <c r="V57" i="3"/>
  <c r="AC57" i="3"/>
  <c r="Z57" i="3"/>
  <c r="AC58" i="3"/>
  <c r="W58" i="3"/>
  <c r="Z58" i="3"/>
  <c r="V58" i="3"/>
  <c r="AE58" i="3"/>
  <c r="AD58" i="3"/>
  <c r="Y58" i="3"/>
  <c r="X58" i="3"/>
  <c r="AC79" i="3"/>
  <c r="W79" i="3"/>
  <c r="Z79" i="3"/>
  <c r="V79" i="3"/>
  <c r="AE79" i="3"/>
  <c r="AD79" i="3"/>
  <c r="Y79" i="3"/>
  <c r="X79" i="3"/>
  <c r="AE77" i="3"/>
  <c r="Y77" i="3"/>
  <c r="AD77" i="3"/>
  <c r="X77" i="3"/>
  <c r="W77" i="3"/>
  <c r="V77" i="3"/>
  <c r="AB77" i="3" s="1"/>
  <c r="AF77" i="3" s="1"/>
  <c r="AC77" i="3"/>
  <c r="Z77" i="3"/>
  <c r="AG52" i="3"/>
  <c r="AL52" i="3"/>
  <c r="AI52" i="3"/>
  <c r="AH52" i="3"/>
  <c r="AK52" i="3"/>
  <c r="AJ52" i="3"/>
  <c r="Z70" i="3"/>
  <c r="V70" i="3"/>
  <c r="AE70" i="3"/>
  <c r="Y70" i="3"/>
  <c r="X70" i="3"/>
  <c r="W70" i="3"/>
  <c r="AD70" i="3"/>
  <c r="AC70" i="3"/>
  <c r="AH51" i="3"/>
  <c r="AG51" i="3"/>
  <c r="AI51" i="3"/>
  <c r="AL51" i="3"/>
  <c r="AK51" i="3"/>
  <c r="AJ51" i="3"/>
  <c r="AE59" i="3"/>
  <c r="Y59" i="3"/>
  <c r="AD59" i="3"/>
  <c r="X59" i="3"/>
  <c r="AC59" i="3"/>
  <c r="Z59" i="3"/>
  <c r="W59" i="3"/>
  <c r="V59" i="3"/>
  <c r="AD73" i="3"/>
  <c r="X73" i="3"/>
  <c r="AC73" i="3"/>
  <c r="W73" i="3"/>
  <c r="Z73" i="3"/>
  <c r="Y73" i="3"/>
  <c r="AA73" i="3" s="1"/>
  <c r="V73" i="3"/>
  <c r="AE73" i="3"/>
  <c r="Z89" i="3"/>
  <c r="V89" i="3"/>
  <c r="AE89" i="3"/>
  <c r="Y89" i="3"/>
  <c r="AD89" i="3"/>
  <c r="AC89" i="3"/>
  <c r="X89" i="3"/>
  <c r="W89" i="3"/>
  <c r="AN88" i="3"/>
  <c r="AV91" i="3"/>
  <c r="AZ91" i="3" s="1"/>
  <c r="BA91" i="3" s="1"/>
  <c r="BA92" i="3"/>
  <c r="AU92" i="3"/>
  <c r="BD92" i="3" s="1"/>
  <c r="AU91" i="3"/>
  <c r="BA90" i="3"/>
  <c r="AU90" i="3"/>
  <c r="BB90" i="3" s="1"/>
  <c r="AU59" i="3"/>
  <c r="AA91" i="3"/>
  <c r="AA92" i="3"/>
  <c r="AI40" i="3"/>
  <c r="AL40" i="3"/>
  <c r="AL39" i="3"/>
  <c r="AL37" i="3"/>
  <c r="AI37" i="3"/>
  <c r="AL38" i="3"/>
  <c r="AG39" i="3"/>
  <c r="AJ39" i="3"/>
  <c r="AJ37" i="3"/>
  <c r="AJ38" i="3"/>
  <c r="AH40" i="3"/>
  <c r="AK40" i="3"/>
  <c r="AI39" i="3"/>
  <c r="AK37" i="3"/>
  <c r="AG37" i="3"/>
  <c r="AI38" i="3"/>
  <c r="AG40" i="3"/>
  <c r="AJ40" i="3"/>
  <c r="AH39" i="3"/>
  <c r="AH37" i="3"/>
  <c r="AK38" i="3"/>
  <c r="AH38" i="3"/>
  <c r="AG38" i="3"/>
  <c r="U97" i="3"/>
  <c r="AF13" i="3"/>
  <c r="T65" i="3"/>
  <c r="U65" i="3" s="1"/>
  <c r="T66" i="3"/>
  <c r="U66" i="3" s="1"/>
  <c r="AN55" i="3"/>
  <c r="T64" i="3"/>
  <c r="U64" i="3" s="1"/>
  <c r="U103" i="3"/>
  <c r="AJ7" i="3"/>
  <c r="AL7" i="3"/>
  <c r="AH6" i="3"/>
  <c r="AK6" i="3"/>
  <c r="AK7" i="3"/>
  <c r="AJ6" i="3"/>
  <c r="AG7" i="3"/>
  <c r="AI7" i="3"/>
  <c r="AL6" i="3"/>
  <c r="AG6" i="3"/>
  <c r="AH7" i="3"/>
  <c r="AI6" i="3"/>
  <c r="T86" i="3"/>
  <c r="U86" i="3" s="1"/>
  <c r="T85" i="3"/>
  <c r="U85" i="3" s="1"/>
  <c r="U104" i="3"/>
  <c r="AF46" i="3"/>
  <c r="U98" i="3"/>
  <c r="CA51" i="3"/>
  <c r="T76" i="3"/>
  <c r="AF44" i="3"/>
  <c r="AJ45" i="3" s="1"/>
  <c r="U95" i="3"/>
  <c r="U96" i="3"/>
  <c r="CB39" i="3"/>
  <c r="CB40" i="3"/>
  <c r="CA20" i="3"/>
  <c r="CA52" i="3"/>
  <c r="T69" i="3"/>
  <c r="CA21" i="3"/>
  <c r="CB21" i="3" s="1"/>
  <c r="CB33" i="3"/>
  <c r="CB34" i="3"/>
  <c r="U101" i="3"/>
  <c r="U102" i="3"/>
  <c r="AJ5" i="3"/>
  <c r="AJ4" i="3"/>
  <c r="AK4" i="3"/>
  <c r="AI4" i="3"/>
  <c r="AH4" i="3"/>
  <c r="AG4" i="3"/>
  <c r="AL4" i="3"/>
  <c r="AI5" i="3"/>
  <c r="AG5" i="3"/>
  <c r="AH5" i="3"/>
  <c r="AL5" i="3"/>
  <c r="AK5" i="3"/>
  <c r="AF31" i="3"/>
  <c r="AH34" i="3" s="1"/>
  <c r="T83" i="3"/>
  <c r="U83" i="3" s="1"/>
  <c r="T84" i="3"/>
  <c r="U84" i="3" s="1"/>
  <c r="AF11" i="3"/>
  <c r="T63" i="3"/>
  <c r="U63" i="3" s="1"/>
  <c r="AU58" i="3"/>
  <c r="AU57" i="3"/>
  <c r="BG5" i="3"/>
  <c r="BG6" i="3"/>
  <c r="AA70" i="3" l="1"/>
  <c r="AJ14" i="3"/>
  <c r="AB59" i="3"/>
  <c r="AF59" i="3" s="1"/>
  <c r="AL45" i="3"/>
  <c r="AG49" i="3"/>
  <c r="AI49" i="3"/>
  <c r="AH49" i="3"/>
  <c r="AK49" i="3"/>
  <c r="AJ49" i="3"/>
  <c r="AL49" i="3"/>
  <c r="AI50" i="3"/>
  <c r="AD102" i="3"/>
  <c r="X102" i="3"/>
  <c r="AC102" i="3"/>
  <c r="W102" i="3"/>
  <c r="Z102" i="3"/>
  <c r="Y102" i="3"/>
  <c r="V102" i="3"/>
  <c r="AE102" i="3"/>
  <c r="AE95" i="3"/>
  <c r="Y95" i="3"/>
  <c r="AD95" i="3"/>
  <c r="X95" i="3"/>
  <c r="W95" i="3"/>
  <c r="V95" i="3"/>
  <c r="AC95" i="3"/>
  <c r="Z95" i="3"/>
  <c r="AC98" i="3"/>
  <c r="W98" i="3"/>
  <c r="Z98" i="3"/>
  <c r="V98" i="3"/>
  <c r="Y98" i="3"/>
  <c r="X98" i="3"/>
  <c r="AE98" i="3"/>
  <c r="AD98" i="3"/>
  <c r="AH43" i="3"/>
  <c r="AG43" i="3"/>
  <c r="AI43" i="3"/>
  <c r="AL43" i="3"/>
  <c r="AK43" i="3"/>
  <c r="AJ43" i="3"/>
  <c r="AK50" i="3"/>
  <c r="AC86" i="3"/>
  <c r="W86" i="3"/>
  <c r="AD86" i="3"/>
  <c r="V86" i="3"/>
  <c r="Z86" i="3"/>
  <c r="Y86" i="3"/>
  <c r="X86" i="3"/>
  <c r="AE86" i="3"/>
  <c r="AC66" i="3"/>
  <c r="W66" i="3"/>
  <c r="Z66" i="3"/>
  <c r="V66" i="3"/>
  <c r="AE66" i="3"/>
  <c r="AD66" i="3"/>
  <c r="Y66" i="3"/>
  <c r="X66" i="3"/>
  <c r="AD101" i="3"/>
  <c r="X101" i="3"/>
  <c r="AC101" i="3"/>
  <c r="W101" i="3"/>
  <c r="Z101" i="3"/>
  <c r="Y101" i="3"/>
  <c r="V101" i="3"/>
  <c r="AE101" i="3"/>
  <c r="AH44" i="3"/>
  <c r="AG44" i="3"/>
  <c r="AJ44" i="3"/>
  <c r="AL44" i="3"/>
  <c r="AK44" i="3"/>
  <c r="AI44" i="3"/>
  <c r="AL46" i="3"/>
  <c r="AK46" i="3"/>
  <c r="AG46" i="3"/>
  <c r="AI46" i="3"/>
  <c r="AH46" i="3"/>
  <c r="AJ46" i="3"/>
  <c r="AC103" i="3"/>
  <c r="W103" i="3"/>
  <c r="Z103" i="3"/>
  <c r="V103" i="3"/>
  <c r="Y103" i="3"/>
  <c r="X103" i="3"/>
  <c r="AE103" i="3"/>
  <c r="AD103" i="3"/>
  <c r="AE65" i="3"/>
  <c r="Y65" i="3"/>
  <c r="AD65" i="3"/>
  <c r="X65" i="3"/>
  <c r="W65" i="3"/>
  <c r="V65" i="3"/>
  <c r="AC65" i="3"/>
  <c r="Z65" i="3"/>
  <c r="AI45" i="3"/>
  <c r="AG45" i="3"/>
  <c r="AJ50" i="3"/>
  <c r="AH50" i="3"/>
  <c r="Z83" i="3"/>
  <c r="V83" i="3"/>
  <c r="AD83" i="3"/>
  <c r="W83" i="3"/>
  <c r="AC83" i="3"/>
  <c r="Y83" i="3"/>
  <c r="X83" i="3"/>
  <c r="AE83" i="3"/>
  <c r="AE96" i="3"/>
  <c r="Y96" i="3"/>
  <c r="AA96" i="3" s="1"/>
  <c r="AD96" i="3"/>
  <c r="X96" i="3"/>
  <c r="W96" i="3"/>
  <c r="V96" i="3"/>
  <c r="AC96" i="3"/>
  <c r="Z96" i="3"/>
  <c r="AD85" i="3"/>
  <c r="X85" i="3"/>
  <c r="AE85" i="3"/>
  <c r="W85" i="3"/>
  <c r="AC85" i="3"/>
  <c r="V85" i="3"/>
  <c r="Z85" i="3"/>
  <c r="Y85" i="3"/>
  <c r="Z97" i="3"/>
  <c r="V97" i="3"/>
  <c r="AE97" i="3"/>
  <c r="Y97" i="3"/>
  <c r="X97" i="3"/>
  <c r="W97" i="3"/>
  <c r="AD97" i="3"/>
  <c r="AC97" i="3"/>
  <c r="AD63" i="3"/>
  <c r="X63" i="3"/>
  <c r="AC63" i="3"/>
  <c r="W63" i="3"/>
  <c r="V63" i="3"/>
  <c r="AE63" i="3"/>
  <c r="Z63" i="3"/>
  <c r="Y63" i="3"/>
  <c r="AE84" i="3"/>
  <c r="Y84" i="3"/>
  <c r="X84" i="3"/>
  <c r="AD84" i="3"/>
  <c r="W84" i="3"/>
  <c r="AC84" i="3"/>
  <c r="Z84" i="3"/>
  <c r="V84" i="3"/>
  <c r="Z104" i="3"/>
  <c r="V104" i="3"/>
  <c r="AE104" i="3"/>
  <c r="Y104" i="3"/>
  <c r="X104" i="3"/>
  <c r="W104" i="3"/>
  <c r="AD104" i="3"/>
  <c r="AC104" i="3"/>
  <c r="AC64" i="3"/>
  <c r="W64" i="3"/>
  <c r="AD64" i="3"/>
  <c r="V64" i="3"/>
  <c r="Z64" i="3"/>
  <c r="AE64" i="3"/>
  <c r="Y64" i="3"/>
  <c r="X64" i="3"/>
  <c r="AK45" i="3"/>
  <c r="AH45" i="3"/>
  <c r="AG50" i="3"/>
  <c r="AL50" i="3"/>
  <c r="T88" i="3"/>
  <c r="BC91" i="3"/>
  <c r="BE91" i="3"/>
  <c r="BC92" i="3"/>
  <c r="BE92" i="3"/>
  <c r="BB92" i="3"/>
  <c r="BG92" i="3" s="1"/>
  <c r="BG40" i="3" s="1"/>
  <c r="BF92" i="3"/>
  <c r="BD91" i="3"/>
  <c r="BE90" i="3"/>
  <c r="BF91" i="3"/>
  <c r="BB91" i="3"/>
  <c r="BG91" i="3" s="1"/>
  <c r="BG39" i="3" s="1"/>
  <c r="BF90" i="3"/>
  <c r="BD90" i="3"/>
  <c r="BC90" i="3"/>
  <c r="AB58" i="3"/>
  <c r="AF58" i="3" s="1"/>
  <c r="AB90" i="3"/>
  <c r="AF90" i="3" s="1"/>
  <c r="AB91" i="3"/>
  <c r="AF91" i="3" s="1"/>
  <c r="AA90" i="3"/>
  <c r="AA89" i="3"/>
  <c r="CB20" i="3"/>
  <c r="AB92" i="3"/>
  <c r="AF92" i="3" s="1"/>
  <c r="AB89" i="3"/>
  <c r="AF89" i="3" s="1"/>
  <c r="AB57" i="3"/>
  <c r="AF57" i="3" s="1"/>
  <c r="AB78" i="3"/>
  <c r="AF78" i="3" s="1"/>
  <c r="AB72" i="3"/>
  <c r="AF72" i="3" s="1"/>
  <c r="AB71" i="3"/>
  <c r="AF71" i="3" s="1"/>
  <c r="AB73" i="3"/>
  <c r="AF73" i="3" s="1"/>
  <c r="AB79" i="3"/>
  <c r="AF79" i="3" s="1"/>
  <c r="AA72" i="3"/>
  <c r="AB80" i="3"/>
  <c r="AF80" i="3" s="1"/>
  <c r="AA59" i="3"/>
  <c r="AL33" i="3"/>
  <c r="AH14" i="3"/>
  <c r="AI34" i="3"/>
  <c r="AA58" i="3"/>
  <c r="AI14" i="3"/>
  <c r="AI32" i="3"/>
  <c r="AG33" i="3"/>
  <c r="AJ33" i="3"/>
  <c r="AK34" i="3"/>
  <c r="AG34" i="3"/>
  <c r="AJ34" i="3"/>
  <c r="AI33" i="3"/>
  <c r="AK14" i="3"/>
  <c r="AL34" i="3"/>
  <c r="AB70" i="3"/>
  <c r="AF70" i="3" s="1"/>
  <c r="AB56" i="3"/>
  <c r="AF56" i="3" s="1"/>
  <c r="AK33" i="3"/>
  <c r="AL14" i="3"/>
  <c r="AJ13" i="3"/>
  <c r="AH13" i="3"/>
  <c r="AG13" i="3"/>
  <c r="AK13" i="3"/>
  <c r="AI13" i="3"/>
  <c r="AL13" i="3"/>
  <c r="AH33" i="3"/>
  <c r="AA95" i="3"/>
  <c r="AA79" i="3"/>
  <c r="T94" i="3"/>
  <c r="AA80" i="3"/>
  <c r="AA103" i="3"/>
  <c r="AA56" i="3"/>
  <c r="AJ32" i="3"/>
  <c r="AH32" i="3"/>
  <c r="AA78" i="3"/>
  <c r="AK32" i="3"/>
  <c r="AJ31" i="3"/>
  <c r="AI31" i="3"/>
  <c r="AL31" i="3"/>
  <c r="AH31" i="3"/>
  <c r="AK31" i="3"/>
  <c r="AG31" i="3"/>
  <c r="AG14" i="3"/>
  <c r="AJ11" i="3"/>
  <c r="AI11" i="3"/>
  <c r="AK11" i="3"/>
  <c r="AH11" i="3"/>
  <c r="AG11" i="3"/>
  <c r="AI12" i="3"/>
  <c r="AL11" i="3"/>
  <c r="AK12" i="3"/>
  <c r="AG12" i="3"/>
  <c r="AH12" i="3"/>
  <c r="AJ12" i="3"/>
  <c r="AL12" i="3"/>
  <c r="AA77" i="3"/>
  <c r="AA71" i="3"/>
  <c r="T100" i="3"/>
  <c r="AA57" i="3"/>
  <c r="AL32" i="3"/>
  <c r="T55" i="3"/>
  <c r="AG32" i="3"/>
  <c r="BH5" i="3"/>
  <c r="BH6" i="3"/>
  <c r="BH7" i="3"/>
  <c r="AA64" i="3" l="1"/>
  <c r="AB102" i="3"/>
  <c r="AF102" i="3" s="1"/>
  <c r="BG90" i="3"/>
  <c r="BG38" i="3" s="1"/>
  <c r="BH40" i="3" s="1"/>
  <c r="AA98" i="3"/>
  <c r="AG72" i="3"/>
  <c r="AG80" i="3"/>
  <c r="AB104" i="3"/>
  <c r="AF104" i="3" s="1"/>
  <c r="AH92" i="3"/>
  <c r="AJ92" i="3"/>
  <c r="AK92" i="3"/>
  <c r="AL92" i="3"/>
  <c r="AI92" i="3"/>
  <c r="AG92" i="3"/>
  <c r="AH91" i="3"/>
  <c r="AK91" i="3"/>
  <c r="AI91" i="3"/>
  <c r="AH89" i="3"/>
  <c r="AG90" i="3"/>
  <c r="AL91" i="3"/>
  <c r="AI89" i="3"/>
  <c r="AJ89" i="3"/>
  <c r="AK89" i="3"/>
  <c r="AG89" i="3"/>
  <c r="AG91" i="3"/>
  <c r="AL89" i="3"/>
  <c r="AJ91" i="3"/>
  <c r="AI90" i="3"/>
  <c r="AL90" i="3"/>
  <c r="AK90" i="3"/>
  <c r="AJ90" i="3"/>
  <c r="AH90" i="3"/>
  <c r="AI80" i="3"/>
  <c r="AA97" i="3"/>
  <c r="AG78" i="3"/>
  <c r="AB64" i="3"/>
  <c r="AF64" i="3" s="1"/>
  <c r="AG77" i="3"/>
  <c r="AL58" i="3"/>
  <c r="AB63" i="3"/>
  <c r="AF63" i="3" s="1"/>
  <c r="AB86" i="3"/>
  <c r="AF86" i="3" s="1"/>
  <c r="AB83" i="3"/>
  <c r="AF83" i="3" s="1"/>
  <c r="AB84" i="3"/>
  <c r="AF84" i="3" s="1"/>
  <c r="AB96" i="3"/>
  <c r="AF96" i="3" s="1"/>
  <c r="AG79" i="3"/>
  <c r="AH58" i="3"/>
  <c r="AB85" i="3"/>
  <c r="AF85" i="3" s="1"/>
  <c r="AB98" i="3"/>
  <c r="AF98" i="3" s="1"/>
  <c r="AJ79" i="3"/>
  <c r="AH78" i="3"/>
  <c r="AL80" i="3"/>
  <c r="AK79" i="3"/>
  <c r="AK80" i="3"/>
  <c r="AK58" i="3"/>
  <c r="AI57" i="3"/>
  <c r="AJ57" i="3"/>
  <c r="AH57" i="3"/>
  <c r="AK57" i="3"/>
  <c r="AL57" i="3"/>
  <c r="AB65" i="3"/>
  <c r="AF65" i="3" s="1"/>
  <c r="AB103" i="3"/>
  <c r="AF103" i="3" s="1"/>
  <c r="AB101" i="3"/>
  <c r="AF101" i="3" s="1"/>
  <c r="AL59" i="3"/>
  <c r="AI59" i="3"/>
  <c r="AG59" i="3"/>
  <c r="AH59" i="3"/>
  <c r="AG56" i="3"/>
  <c r="AI56" i="3"/>
  <c r="AG57" i="3"/>
  <c r="AJ56" i="3"/>
  <c r="AH56" i="3"/>
  <c r="AL56" i="3"/>
  <c r="AK56" i="3"/>
  <c r="AL79" i="3"/>
  <c r="AH80" i="3"/>
  <c r="AL77" i="3"/>
  <c r="AK78" i="3"/>
  <c r="AI77" i="3"/>
  <c r="AG58" i="3"/>
  <c r="AK59" i="3"/>
  <c r="AB66" i="3"/>
  <c r="AF66" i="3" s="1"/>
  <c r="AI70" i="3"/>
  <c r="AJ70" i="3"/>
  <c r="AL70" i="3"/>
  <c r="AK70" i="3"/>
  <c r="AH70" i="3"/>
  <c r="AG70" i="3"/>
  <c r="AH72" i="3"/>
  <c r="AI73" i="3"/>
  <c r="AH71" i="3"/>
  <c r="AL71" i="3"/>
  <c r="AK72" i="3"/>
  <c r="AI72" i="3"/>
  <c r="AJ73" i="3"/>
  <c r="AJ71" i="3"/>
  <c r="AL72" i="3"/>
  <c r="AL73" i="3"/>
  <c r="AJ72" i="3"/>
  <c r="AK73" i="3"/>
  <c r="AH73" i="3"/>
  <c r="AK71" i="3"/>
  <c r="AI71" i="3"/>
  <c r="AI78" i="3"/>
  <c r="AJ78" i="3"/>
  <c r="AI79" i="3"/>
  <c r="AK77" i="3"/>
  <c r="AH77" i="3"/>
  <c r="AJ58" i="3"/>
  <c r="AB95" i="3"/>
  <c r="AF95" i="3" s="1"/>
  <c r="AB97" i="3"/>
  <c r="AF97" i="3" s="1"/>
  <c r="AJ59" i="3"/>
  <c r="AH79" i="3"/>
  <c r="AJ77" i="3"/>
  <c r="AL78" i="3"/>
  <c r="AJ80" i="3"/>
  <c r="AM80" i="3" s="1"/>
  <c r="AM28" i="3" s="1"/>
  <c r="AI58" i="3"/>
  <c r="AG73" i="3"/>
  <c r="AG71" i="3"/>
  <c r="AA84" i="3"/>
  <c r="AA83" i="3"/>
  <c r="T82" i="3"/>
  <c r="AA65" i="3"/>
  <c r="AA63" i="3"/>
  <c r="AA101" i="3"/>
  <c r="AA66" i="3"/>
  <c r="AA102" i="3"/>
  <c r="AA104" i="3"/>
  <c r="AA85" i="3"/>
  <c r="T62" i="3"/>
  <c r="AA86" i="3"/>
  <c r="AG97" i="3" l="1"/>
  <c r="AG103" i="3"/>
  <c r="AJ102" i="3"/>
  <c r="AI101" i="3"/>
  <c r="AH101" i="3"/>
  <c r="AG101" i="3"/>
  <c r="AI103" i="3"/>
  <c r="AK104" i="3"/>
  <c r="AJ104" i="3"/>
  <c r="AH104" i="3"/>
  <c r="AJ101" i="3"/>
  <c r="AL102" i="3"/>
  <c r="AK102" i="3"/>
  <c r="AL103" i="3"/>
  <c r="AK103" i="3"/>
  <c r="AJ103" i="3"/>
  <c r="AI102" i="3"/>
  <c r="AH102" i="3"/>
  <c r="AL101" i="3"/>
  <c r="AK101" i="3"/>
  <c r="AH103" i="3"/>
  <c r="AI104" i="3"/>
  <c r="AL104" i="3"/>
  <c r="AI95" i="3"/>
  <c r="AK95" i="3"/>
  <c r="AH98" i="3"/>
  <c r="AJ96" i="3"/>
  <c r="AI97" i="3"/>
  <c r="AL97" i="3"/>
  <c r="AJ95" i="3"/>
  <c r="AG95" i="3"/>
  <c r="AI98" i="3"/>
  <c r="AH96" i="3"/>
  <c r="AL96" i="3"/>
  <c r="AK97" i="3"/>
  <c r="AJ97" i="3"/>
  <c r="AH95" i="3"/>
  <c r="AL95" i="3"/>
  <c r="AL98" i="3"/>
  <c r="AK98" i="3"/>
  <c r="AJ98" i="3"/>
  <c r="AI96" i="3"/>
  <c r="AK96" i="3"/>
  <c r="AH97" i="3"/>
  <c r="AG104" i="3"/>
  <c r="AG98" i="3"/>
  <c r="AG96" i="3"/>
  <c r="AG102" i="3"/>
  <c r="BH39" i="3"/>
  <c r="BH38" i="3"/>
  <c r="AM79" i="3"/>
  <c r="AM27" i="3" s="1"/>
  <c r="AL63" i="3"/>
  <c r="AM77" i="3"/>
  <c r="AM25" i="3" s="1"/>
  <c r="AN28" i="3" s="1"/>
  <c r="CW28" i="3" s="1"/>
  <c r="AM89" i="3"/>
  <c r="AM37" i="3" s="1"/>
  <c r="AM90" i="3"/>
  <c r="AM38" i="3" s="1"/>
  <c r="AM92" i="3"/>
  <c r="AM40" i="3" s="1"/>
  <c r="AM91" i="3"/>
  <c r="AM39" i="3" s="1"/>
  <c r="AG86" i="3"/>
  <c r="AM71" i="3"/>
  <c r="AM19" i="3" s="1"/>
  <c r="AM72" i="3"/>
  <c r="AM20" i="3" s="1"/>
  <c r="AL86" i="3"/>
  <c r="AI66" i="3"/>
  <c r="AM57" i="3"/>
  <c r="AM5" i="3" s="1"/>
  <c r="AG64" i="3"/>
  <c r="AM78" i="3"/>
  <c r="AM26" i="3" s="1"/>
  <c r="AG85" i="3"/>
  <c r="AM73" i="3"/>
  <c r="AM21" i="3" s="1"/>
  <c r="AM59" i="3"/>
  <c r="AM7" i="3" s="1"/>
  <c r="AH83" i="3"/>
  <c r="AL84" i="3"/>
  <c r="AL85" i="3"/>
  <c r="AJ85" i="3"/>
  <c r="AK83" i="3"/>
  <c r="AI65" i="3"/>
  <c r="AL65" i="3"/>
  <c r="AK64" i="3"/>
  <c r="AH65" i="3"/>
  <c r="AL64" i="3"/>
  <c r="AM70" i="3"/>
  <c r="AM18" i="3" s="1"/>
  <c r="AM58" i="3"/>
  <c r="AM6" i="3" s="1"/>
  <c r="AG65" i="3"/>
  <c r="AL83" i="3"/>
  <c r="AI84" i="3"/>
  <c r="AH85" i="3"/>
  <c r="AK85" i="3"/>
  <c r="AK86" i="3"/>
  <c r="AH63" i="3"/>
  <c r="AJ64" i="3"/>
  <c r="AH64" i="3"/>
  <c r="AJ66" i="3"/>
  <c r="AJ65" i="3"/>
  <c r="AI64" i="3"/>
  <c r="AG84" i="3"/>
  <c r="AM56" i="3"/>
  <c r="AM4" i="3" s="1"/>
  <c r="AH86" i="3"/>
  <c r="AI83" i="3"/>
  <c r="AH84" i="3"/>
  <c r="AJ84" i="3"/>
  <c r="AI86" i="3"/>
  <c r="AI63" i="3"/>
  <c r="AH66" i="3"/>
  <c r="AK66" i="3"/>
  <c r="AG63" i="3"/>
  <c r="AL66" i="3"/>
  <c r="AG66" i="3"/>
  <c r="AK84" i="3"/>
  <c r="AI85" i="3"/>
  <c r="AJ86" i="3"/>
  <c r="AG83" i="3"/>
  <c r="AJ83" i="3"/>
  <c r="AK65" i="3"/>
  <c r="AJ63" i="3"/>
  <c r="AK63" i="3"/>
  <c r="AN25" i="3" l="1"/>
  <c r="CW25" i="3" s="1"/>
  <c r="AN26" i="3"/>
  <c r="CW26" i="3" s="1"/>
  <c r="AN40" i="3"/>
  <c r="CW40" i="3" s="1"/>
  <c r="AN37" i="3"/>
  <c r="CW37" i="3" s="1"/>
  <c r="AN38" i="3"/>
  <c r="CW38" i="3" s="1"/>
  <c r="AN39" i="3"/>
  <c r="CW39" i="3" s="1"/>
  <c r="AM85" i="3"/>
  <c r="AM33" i="3" s="1"/>
  <c r="AN27" i="3"/>
  <c r="CW27" i="3" s="1"/>
  <c r="AM66" i="3"/>
  <c r="AM14" i="3" s="1"/>
  <c r="AM104" i="3"/>
  <c r="AM52" i="3" s="1"/>
  <c r="AM102" i="3"/>
  <c r="AM50" i="3" s="1"/>
  <c r="AM86" i="3"/>
  <c r="AM34" i="3" s="1"/>
  <c r="AM64" i="3"/>
  <c r="AM12" i="3" s="1"/>
  <c r="AM63" i="3"/>
  <c r="AM11" i="3" s="1"/>
  <c r="AN21" i="3"/>
  <c r="CW21" i="3" s="1"/>
  <c r="AN18" i="3"/>
  <c r="CW18" i="3" s="1"/>
  <c r="AN20" i="3"/>
  <c r="CW20" i="3" s="1"/>
  <c r="AN19" i="3"/>
  <c r="CW19" i="3" s="1"/>
  <c r="AM97" i="3"/>
  <c r="AM45" i="3" s="1"/>
  <c r="AM103" i="3"/>
  <c r="AM51" i="3" s="1"/>
  <c r="AM83" i="3"/>
  <c r="AM31" i="3" s="1"/>
  <c r="AM101" i="3"/>
  <c r="AM49" i="3" s="1"/>
  <c r="AM84" i="3"/>
  <c r="AM32" i="3" s="1"/>
  <c r="AM98" i="3"/>
  <c r="AM46" i="3" s="1"/>
  <c r="AM95" i="3"/>
  <c r="AM43" i="3" s="1"/>
  <c r="AN6" i="3"/>
  <c r="CW6" i="3" s="1"/>
  <c r="AN5" i="3"/>
  <c r="CW5" i="3" s="1"/>
  <c r="AN4" i="3"/>
  <c r="CW4" i="3" s="1"/>
  <c r="AM65" i="3"/>
  <c r="AM13" i="3" s="1"/>
  <c r="AM96" i="3"/>
  <c r="AM44" i="3" s="1"/>
  <c r="AN7" i="3"/>
  <c r="CW7" i="3" s="1"/>
  <c r="A4" i="3" l="1"/>
  <c r="A6" i="3"/>
  <c r="A5" i="3"/>
  <c r="A7" i="3"/>
  <c r="A20" i="3"/>
  <c r="A19" i="3"/>
  <c r="A21" i="3"/>
  <c r="A18" i="3"/>
  <c r="A38" i="3"/>
  <c r="A39" i="3"/>
  <c r="A37" i="3"/>
  <c r="A40" i="3"/>
  <c r="AN49" i="3"/>
  <c r="CW49" i="3" s="1"/>
  <c r="AN50" i="3"/>
  <c r="AN51" i="3"/>
  <c r="CW51" i="3" s="1"/>
  <c r="AN52" i="3"/>
  <c r="AN43" i="3"/>
  <c r="CW43" i="3" s="1"/>
  <c r="AN44" i="3"/>
  <c r="AN46" i="3"/>
  <c r="CW46" i="3" s="1"/>
  <c r="AN45" i="3"/>
  <c r="A26" i="3"/>
  <c r="A25" i="3"/>
  <c r="A27" i="3"/>
  <c r="A28" i="3"/>
  <c r="CW45" i="3"/>
  <c r="CW44" i="3"/>
  <c r="AN33" i="3"/>
  <c r="CW33" i="3" s="1"/>
  <c r="AN32" i="3"/>
  <c r="CW32" i="3" s="1"/>
  <c r="AN31" i="3"/>
  <c r="CW31" i="3" s="1"/>
  <c r="AN34" i="3"/>
  <c r="CW34" i="3" s="1"/>
  <c r="CW50" i="3"/>
  <c r="CW52" i="3"/>
  <c r="AN12" i="3"/>
  <c r="CW12" i="3" s="1"/>
  <c r="AN14" i="3"/>
  <c r="CW14" i="3" s="1"/>
  <c r="AN13" i="3"/>
  <c r="CW13" i="3" s="1"/>
  <c r="AN11" i="3"/>
  <c r="CW11" i="3" s="1"/>
  <c r="A12" i="3" l="1"/>
  <c r="A14" i="3"/>
  <c r="A11" i="3"/>
  <c r="A13" i="3"/>
  <c r="A44" i="3"/>
  <c r="A46" i="3"/>
  <c r="A43" i="3"/>
  <c r="A45" i="3"/>
  <c r="Y20" i="2"/>
  <c r="T20" i="2"/>
  <c r="W19" i="2"/>
  <c r="W18" i="2"/>
  <c r="Z20" i="2"/>
  <c r="Z19" i="2"/>
  <c r="T19" i="2"/>
  <c r="Y18" i="2"/>
  <c r="X17" i="2"/>
  <c r="X20" i="2"/>
  <c r="Y19" i="2"/>
  <c r="X18" i="2"/>
  <c r="W17" i="2"/>
  <c r="V19" i="2"/>
  <c r="T18" i="2"/>
  <c r="Y17" i="2"/>
  <c r="W20" i="2"/>
  <c r="X19" i="2"/>
  <c r="V18" i="2"/>
  <c r="Z17" i="2"/>
  <c r="V17" i="2"/>
  <c r="V20" i="2"/>
  <c r="Z18" i="2"/>
  <c r="T17" i="2"/>
  <c r="A51" i="3"/>
  <c r="X37" i="2" s="1"/>
  <c r="A52" i="3"/>
  <c r="A50" i="3"/>
  <c r="A49" i="3"/>
  <c r="Z38" i="2"/>
  <c r="V38" i="2"/>
  <c r="V36" i="2"/>
  <c r="X35" i="2"/>
  <c r="Y36" i="2"/>
  <c r="Z35" i="2"/>
  <c r="T35" i="2"/>
  <c r="W38" i="2"/>
  <c r="W37" i="2"/>
  <c r="X36" i="2"/>
  <c r="Y35" i="2"/>
  <c r="Z37" i="2"/>
  <c r="T36" i="2"/>
  <c r="T38" i="2"/>
  <c r="V37" i="2"/>
  <c r="W36" i="2"/>
  <c r="W35" i="2"/>
  <c r="Y38" i="2"/>
  <c r="T37" i="2"/>
  <c r="V35" i="2"/>
  <c r="A34" i="3"/>
  <c r="A33" i="3"/>
  <c r="A31" i="3"/>
  <c r="A32" i="3"/>
  <c r="X26" i="2"/>
  <c r="Z25" i="2"/>
  <c r="V25" i="2"/>
  <c r="X24" i="2"/>
  <c r="Z23" i="2"/>
  <c r="V23" i="2"/>
  <c r="V26" i="2"/>
  <c r="W25" i="2"/>
  <c r="W24" i="2"/>
  <c r="X23" i="2"/>
  <c r="Z26" i="2"/>
  <c r="T26" i="2"/>
  <c r="T25" i="2"/>
  <c r="V24" i="2"/>
  <c r="W23" i="2"/>
  <c r="X25" i="2"/>
  <c r="Y23" i="2"/>
  <c r="Y26" i="2"/>
  <c r="Y25" i="2"/>
  <c r="Z24" i="2"/>
  <c r="T24" i="2"/>
  <c r="T23" i="2"/>
  <c r="W26" i="2"/>
  <c r="Y24" i="2"/>
  <c r="Z8" i="2"/>
  <c r="V8" i="2"/>
  <c r="Z7" i="2"/>
  <c r="V7" i="2"/>
  <c r="Z6" i="2"/>
  <c r="V6" i="2"/>
  <c r="Z5" i="2"/>
  <c r="V5" i="2"/>
  <c r="W8" i="2"/>
  <c r="W5" i="2"/>
  <c r="Y8" i="2"/>
  <c r="T8" i="2"/>
  <c r="Y7" i="2"/>
  <c r="T7" i="2"/>
  <c r="Y6" i="2"/>
  <c r="T6" i="2"/>
  <c r="Y5" i="2"/>
  <c r="T5" i="2"/>
  <c r="W7" i="2"/>
  <c r="W6" i="2"/>
  <c r="X8" i="2"/>
  <c r="X7" i="2"/>
  <c r="X6" i="2"/>
  <c r="X5" i="2"/>
  <c r="U23" i="2"/>
  <c r="Y37" i="2" l="1"/>
  <c r="Z36" i="2"/>
  <c r="X38" i="2"/>
  <c r="U38" i="2" s="1"/>
  <c r="X50" i="2"/>
  <c r="Z49" i="2"/>
  <c r="V49" i="2"/>
  <c r="X48" i="2"/>
  <c r="Z47" i="2"/>
  <c r="V47" i="2"/>
  <c r="V50" i="2"/>
  <c r="W49" i="2"/>
  <c r="W48" i="2"/>
  <c r="X47" i="2"/>
  <c r="Z50" i="2"/>
  <c r="T50" i="2"/>
  <c r="T49" i="2"/>
  <c r="V48" i="2"/>
  <c r="W47" i="2"/>
  <c r="Y48" i="2"/>
  <c r="Y50" i="2"/>
  <c r="Y49" i="2"/>
  <c r="Z48" i="2"/>
  <c r="T48" i="2"/>
  <c r="T47" i="2"/>
  <c r="W50" i="2"/>
  <c r="X49" i="2"/>
  <c r="Y47" i="2"/>
  <c r="W32" i="2"/>
  <c r="Y31" i="2"/>
  <c r="T31" i="2"/>
  <c r="W30" i="2"/>
  <c r="Y29" i="2"/>
  <c r="T29" i="2"/>
  <c r="X32" i="2"/>
  <c r="X31" i="2"/>
  <c r="Y30" i="2"/>
  <c r="Z29" i="2"/>
  <c r="V32" i="2"/>
  <c r="W31" i="2"/>
  <c r="X30" i="2"/>
  <c r="X29" i="2"/>
  <c r="Y32" i="2"/>
  <c r="Z31" i="2"/>
  <c r="T30" i="2"/>
  <c r="Z32" i="2"/>
  <c r="T32" i="2"/>
  <c r="V31" i="2"/>
  <c r="V30" i="2"/>
  <c r="W29" i="2"/>
  <c r="Z30" i="2"/>
  <c r="V29" i="2"/>
  <c r="Y44" i="2"/>
  <c r="T44" i="2"/>
  <c r="W43" i="2"/>
  <c r="Y42" i="2"/>
  <c r="T42" i="2"/>
  <c r="W41" i="2"/>
  <c r="Z44" i="2"/>
  <c r="Z43" i="2"/>
  <c r="T43" i="2"/>
  <c r="V42" i="2"/>
  <c r="V41" i="2"/>
  <c r="X44" i="2"/>
  <c r="Y43" i="2"/>
  <c r="Z42" i="2"/>
  <c r="Z41" i="2"/>
  <c r="T41" i="2"/>
  <c r="V43" i="2"/>
  <c r="X41" i="2"/>
  <c r="W44" i="2"/>
  <c r="X43" i="2"/>
  <c r="X42" i="2"/>
  <c r="Y41" i="2"/>
  <c r="V44" i="2"/>
  <c r="W42" i="2"/>
  <c r="Y14" i="2"/>
  <c r="T14" i="2"/>
  <c r="Y13" i="2"/>
  <c r="T13" i="2"/>
  <c r="Y12" i="2"/>
  <c r="T12" i="2"/>
  <c r="Y11" i="2"/>
  <c r="T11" i="2"/>
  <c r="V11" i="2"/>
  <c r="X14" i="2"/>
  <c r="X13" i="2"/>
  <c r="X12" i="2"/>
  <c r="X11" i="2"/>
  <c r="Z11" i="2"/>
  <c r="W14" i="2"/>
  <c r="W13" i="2"/>
  <c r="W12" i="2"/>
  <c r="W11" i="2"/>
  <c r="Z14" i="2"/>
  <c r="V14" i="2"/>
  <c r="Z13" i="2"/>
  <c r="V13" i="2"/>
  <c r="Z12" i="2"/>
  <c r="V12" i="2"/>
  <c r="U24" i="2"/>
  <c r="U26" i="2"/>
  <c r="U25" i="2"/>
  <c r="U37" i="2"/>
  <c r="U35" i="2"/>
  <c r="U36" i="2"/>
  <c r="U17" i="2"/>
  <c r="U7" i="2"/>
  <c r="U8" i="2"/>
  <c r="U19" i="2"/>
  <c r="U18" i="2"/>
  <c r="U20" i="2"/>
  <c r="U6" i="2"/>
  <c r="U5" i="2"/>
  <c r="U42" i="2" l="1"/>
  <c r="D60" i="2"/>
  <c r="D71" i="2"/>
  <c r="DR48" i="3" s="1"/>
  <c r="DT48" i="3" s="1"/>
  <c r="U47" i="2"/>
  <c r="U14" i="2"/>
  <c r="D64" i="2"/>
  <c r="DR45" i="3" s="1"/>
  <c r="DT45" i="3" s="1"/>
  <c r="D79" i="2"/>
  <c r="DR52" i="3" s="1"/>
  <c r="DT52" i="3" s="1"/>
  <c r="U41" i="2"/>
  <c r="U29" i="2"/>
  <c r="D59" i="2"/>
  <c r="DR42" i="3" s="1"/>
  <c r="DT42" i="3" s="1"/>
  <c r="U50" i="2"/>
  <c r="D55" i="2"/>
  <c r="D76" i="2"/>
  <c r="DR51" i="3" s="1"/>
  <c r="DT51" i="3" s="1"/>
  <c r="U13" i="2"/>
  <c r="U30" i="2"/>
  <c r="U48" i="2"/>
  <c r="U49" i="2"/>
  <c r="U12" i="2"/>
  <c r="U32" i="2"/>
  <c r="U31" i="2"/>
  <c r="U11" i="2"/>
  <c r="D72" i="2"/>
  <c r="DR49" i="3" s="1"/>
  <c r="DT49" i="3" s="1"/>
  <c r="DR43" i="3"/>
  <c r="DT43" i="3" s="1"/>
  <c r="H58" i="2"/>
  <c r="U43" i="2"/>
  <c r="U44" i="2"/>
  <c r="H73" i="2" l="1"/>
  <c r="L77" i="2" s="1"/>
  <c r="DR57" i="3"/>
  <c r="DT57" i="3" s="1"/>
  <c r="L61" i="2"/>
  <c r="D68" i="2"/>
  <c r="DR47" i="3" s="1"/>
  <c r="DT47" i="3" s="1"/>
  <c r="D83" i="2"/>
  <c r="D84" i="2"/>
  <c r="DR55" i="3" s="1"/>
  <c r="DT55" i="3" s="1"/>
  <c r="D67" i="2"/>
  <c r="DR40" i="3"/>
  <c r="DT40" i="3" s="1"/>
  <c r="H57" i="2"/>
  <c r="DR56" i="3" s="1"/>
  <c r="DT56" i="3" s="1"/>
  <c r="D56" i="2"/>
  <c r="DR41" i="3" s="1"/>
  <c r="DT41" i="3" s="1"/>
  <c r="D75" i="2"/>
  <c r="D63" i="2"/>
  <c r="D80" i="2"/>
  <c r="DR60" i="3" l="1"/>
  <c r="DT60" i="3" s="1"/>
  <c r="DR50" i="3"/>
  <c r="DT50" i="3" s="1"/>
  <c r="H74" i="2"/>
  <c r="DR61" i="3" s="1"/>
  <c r="DT61" i="3" s="1"/>
  <c r="DR54" i="3"/>
  <c r="DT54" i="3" s="1"/>
  <c r="H82" i="2"/>
  <c r="DR63" i="3" s="1"/>
  <c r="DT63" i="3" s="1"/>
  <c r="DR53" i="3"/>
  <c r="DT53" i="3" s="1"/>
  <c r="H81" i="2"/>
  <c r="DR44" i="3"/>
  <c r="DT44" i="3" s="1"/>
  <c r="H65" i="2"/>
  <c r="Q70" i="2"/>
  <c r="DR66" i="3"/>
  <c r="DT66" i="3" s="1"/>
  <c r="DR46" i="3"/>
  <c r="DT46" i="3" s="1"/>
  <c r="H66" i="2"/>
  <c r="DR59" i="3" s="1"/>
  <c r="DT59" i="3" s="1"/>
  <c r="Q69" i="2"/>
  <c r="DR64" i="3"/>
  <c r="DT64" i="3" s="1"/>
  <c r="L62" i="2" l="1"/>
  <c r="DR65" i="3" s="1"/>
  <c r="DT65" i="3" s="1"/>
  <c r="DR58" i="3"/>
  <c r="DT58" i="3" s="1"/>
  <c r="L78" i="2"/>
  <c r="DR67" i="3" s="1"/>
  <c r="DT67" i="3" s="1"/>
  <c r="DR62" i="3"/>
  <c r="DT62" i="3" s="1"/>
  <c r="DR73" i="3"/>
  <c r="DT73" i="3" s="1"/>
  <c r="DR69" i="3"/>
  <c r="DT69" i="3" s="1"/>
  <c r="DR72" i="3"/>
  <c r="DT72" i="3" s="1"/>
  <c r="DR68" i="3"/>
  <c r="DT68" i="3" s="1"/>
</calcChain>
</file>

<file path=xl/sharedStrings.xml><?xml version="1.0" encoding="utf-8"?>
<sst xmlns="http://schemas.openxmlformats.org/spreadsheetml/2006/main" count="1348" uniqueCount="676">
  <si>
    <t>SETUP</t>
  </si>
  <si>
    <t>English</t>
  </si>
  <si>
    <t>Fair Play Points</t>
  </si>
  <si>
    <t>MY LANGUAGE</t>
  </si>
  <si>
    <t>Original Language (English)</t>
  </si>
  <si>
    <t>Your Language Translation</t>
  </si>
  <si>
    <t></t>
  </si>
  <si>
    <t>Language</t>
  </si>
  <si>
    <t>Timezone</t>
  </si>
  <si>
    <t>Group Stages</t>
  </si>
  <si>
    <t>Matches</t>
  </si>
  <si>
    <t>Standings</t>
  </si>
  <si>
    <t>Group</t>
  </si>
  <si>
    <t>Date</t>
  </si>
  <si>
    <t>Country</t>
  </si>
  <si>
    <t>Score</t>
  </si>
  <si>
    <t>Time</t>
  </si>
  <si>
    <t>Round of 16</t>
  </si>
  <si>
    <t>Quarter Finals</t>
  </si>
  <si>
    <t>Semi Finals</t>
  </si>
  <si>
    <t>Third Place</t>
  </si>
  <si>
    <t>Final</t>
  </si>
  <si>
    <t>Winner</t>
  </si>
  <si>
    <t>Runner Up</t>
  </si>
  <si>
    <t>Normal Time</t>
  </si>
  <si>
    <t>Penalty Shoot Out</t>
  </si>
  <si>
    <t>Champion</t>
  </si>
  <si>
    <t>Match #</t>
  </si>
  <si>
    <t>Group A Winner</t>
  </si>
  <si>
    <t>Group B Winner</t>
  </si>
  <si>
    <t>Group C Winner</t>
  </si>
  <si>
    <t>Group D Winner</t>
  </si>
  <si>
    <t>Group E Winner</t>
  </si>
  <si>
    <t>Group F Winner</t>
  </si>
  <si>
    <t>Group G Winner</t>
  </si>
  <si>
    <t>Group H Winner</t>
  </si>
  <si>
    <t>Group A Runner Up</t>
  </si>
  <si>
    <t>Group B Runner Up</t>
  </si>
  <si>
    <t>Group C Runner Up</t>
  </si>
  <si>
    <t>Group D Runner Up</t>
  </si>
  <si>
    <t>Group E Runner Up</t>
  </si>
  <si>
    <t>Group F Runner Up</t>
  </si>
  <si>
    <t>Group G Runner Up</t>
  </si>
  <si>
    <t>Group H Runner Up</t>
  </si>
  <si>
    <t>Match 53 Winner</t>
  </si>
  <si>
    <t>Match 54 Winner</t>
  </si>
  <si>
    <t>Match 55 Winner</t>
  </si>
  <si>
    <t>Match 56 Winner</t>
  </si>
  <si>
    <t>Match 57 Winner</t>
  </si>
  <si>
    <t>Match 58 Winner</t>
  </si>
  <si>
    <t>Match 59 Winner</t>
  </si>
  <si>
    <t>Match 60 Winner</t>
  </si>
  <si>
    <t>Match 61 Winner</t>
  </si>
  <si>
    <t>Match 62 Winner</t>
  </si>
  <si>
    <t>Match 63 Winner</t>
  </si>
  <si>
    <t>Match 64 Winner</t>
  </si>
  <si>
    <t>Played</t>
  </si>
  <si>
    <t>Win</t>
  </si>
  <si>
    <t>Draw</t>
  </si>
  <si>
    <t>Lose</t>
  </si>
  <si>
    <t>Goal scored for</t>
  </si>
  <si>
    <t>Goal scored against</t>
  </si>
  <si>
    <t>Point</t>
  </si>
  <si>
    <t>Second place</t>
  </si>
  <si>
    <t>Group A</t>
  </si>
  <si>
    <t>Group B</t>
  </si>
  <si>
    <t>Group C</t>
  </si>
  <si>
    <t>Group D</t>
  </si>
  <si>
    <t>Group E</t>
  </si>
  <si>
    <t>Group F</t>
  </si>
  <si>
    <t>Group G</t>
  </si>
  <si>
    <t>Group H</t>
  </si>
  <si>
    <t>Match 49 Winner</t>
  </si>
  <si>
    <t>Match 50 Winner</t>
  </si>
  <si>
    <t>Match 51 Winner</t>
  </si>
  <si>
    <t>Match 52 Winner</t>
  </si>
  <si>
    <t>Match 61 Loser</t>
  </si>
  <si>
    <t>Match 62 Loser</t>
  </si>
  <si>
    <t>Venue</t>
  </si>
  <si>
    <t>P</t>
  </si>
  <si>
    <t>W</t>
  </si>
  <si>
    <t>D</t>
  </si>
  <si>
    <t>L</t>
  </si>
  <si>
    <t>F - A</t>
  </si>
  <si>
    <t>Pt</t>
  </si>
  <si>
    <t>A</t>
  </si>
  <si>
    <t>B</t>
  </si>
  <si>
    <t>C</t>
  </si>
  <si>
    <t>F</t>
  </si>
  <si>
    <t>E</t>
  </si>
  <si>
    <t>G</t>
  </si>
  <si>
    <t>H</t>
  </si>
  <si>
    <t xml:space="preserve">Chicago </t>
  </si>
  <si>
    <t xml:space="preserve">Copenhagen </t>
  </si>
  <si>
    <t>Notes :</t>
  </si>
  <si>
    <t>●</t>
  </si>
  <si>
    <t>Pairing teams in Knock Out rounds will be placed automatically</t>
  </si>
  <si>
    <t>Color meaning :</t>
  </si>
  <si>
    <t>Team Name</t>
  </si>
  <si>
    <t>+0.5</t>
  </si>
  <si>
    <t>+1</t>
  </si>
  <si>
    <t>+1.5</t>
  </si>
  <si>
    <t>+2</t>
  </si>
  <si>
    <t>+2.5</t>
  </si>
  <si>
    <t>+3</t>
  </si>
  <si>
    <t>+3.5</t>
  </si>
  <si>
    <t>+4</t>
  </si>
  <si>
    <t>+4.5</t>
  </si>
  <si>
    <t>+5</t>
  </si>
  <si>
    <t>+5.5</t>
  </si>
  <si>
    <t>+6</t>
  </si>
  <si>
    <t>+6.5</t>
  </si>
  <si>
    <t>+7</t>
  </si>
  <si>
    <t>+7.5</t>
  </si>
  <si>
    <t>+8</t>
  </si>
  <si>
    <t>+8.5</t>
  </si>
  <si>
    <t>+9</t>
  </si>
  <si>
    <t>+9.5</t>
  </si>
  <si>
    <t>+10</t>
  </si>
  <si>
    <t>+10.5</t>
  </si>
  <si>
    <t>+11</t>
  </si>
  <si>
    <t>+11.5</t>
  </si>
  <si>
    <t>+12</t>
  </si>
  <si>
    <t>:</t>
  </si>
  <si>
    <t>Kaliningrad Stadium</t>
  </si>
  <si>
    <t>French</t>
  </si>
  <si>
    <t>German/Deutsch</t>
  </si>
  <si>
    <t>Italian</t>
  </si>
  <si>
    <t>Portuguese</t>
  </si>
  <si>
    <t>Spanish</t>
  </si>
  <si>
    <t>Langue</t>
  </si>
  <si>
    <t>Sprache</t>
  </si>
  <si>
    <t>Linguaggio</t>
  </si>
  <si>
    <t>Idioma</t>
  </si>
  <si>
    <t>Fuseau horaire</t>
  </si>
  <si>
    <t>Zeitzone</t>
  </si>
  <si>
    <t>Fuso orario</t>
  </si>
  <si>
    <t>Fuso Horário</t>
  </si>
  <si>
    <t>Zona Horaria</t>
  </si>
  <si>
    <t>Phases de poules</t>
  </si>
  <si>
    <t>Gruppenphase</t>
  </si>
  <si>
    <t>Fase a gruppi</t>
  </si>
  <si>
    <t>Fase de Grupos</t>
  </si>
  <si>
    <t>Fase de grupos</t>
  </si>
  <si>
    <t>Rencontres</t>
  </si>
  <si>
    <t>Spiele</t>
  </si>
  <si>
    <t>Partite</t>
  </si>
  <si>
    <t>Jogos</t>
  </si>
  <si>
    <t>Partidos</t>
  </si>
  <si>
    <t>Classements</t>
  </si>
  <si>
    <t>Tabellen</t>
  </si>
  <si>
    <t>Classifica</t>
  </si>
  <si>
    <t>Classificações</t>
  </si>
  <si>
    <t>Clasificación</t>
  </si>
  <si>
    <t>Groupe</t>
  </si>
  <si>
    <t>Gruppe</t>
  </si>
  <si>
    <t>Gruppo</t>
  </si>
  <si>
    <t>Grupo</t>
  </si>
  <si>
    <t>Datum</t>
  </si>
  <si>
    <t>Data</t>
  </si>
  <si>
    <t>Fecha</t>
  </si>
  <si>
    <t>Pays</t>
  </si>
  <si>
    <t>Land</t>
  </si>
  <si>
    <t>Nazione</t>
  </si>
  <si>
    <t>País</t>
  </si>
  <si>
    <t>Ergebnis</t>
  </si>
  <si>
    <t>Risultato</t>
  </si>
  <si>
    <t>Resultado</t>
  </si>
  <si>
    <t>Heure</t>
  </si>
  <si>
    <t>Uhrzeit</t>
  </si>
  <si>
    <t>Ora</t>
  </si>
  <si>
    <t>Tempo</t>
  </si>
  <si>
    <t>Hora</t>
  </si>
  <si>
    <t xml:space="preserve">Huitièmes de finale </t>
  </si>
  <si>
    <t>Achtelfinale</t>
  </si>
  <si>
    <t>Ottavi di finale</t>
  </si>
  <si>
    <t>Oitavos de Final</t>
  </si>
  <si>
    <t>Octavos de final</t>
  </si>
  <si>
    <t>Quarts de finale</t>
  </si>
  <si>
    <t>Viertelfinale</t>
  </si>
  <si>
    <t>Quarti di finale</t>
  </si>
  <si>
    <t>Quartos de Final</t>
  </si>
  <si>
    <t>Cuartos de final</t>
  </si>
  <si>
    <t>Demi-finales</t>
  </si>
  <si>
    <t>Halbfinale</t>
  </si>
  <si>
    <t>Semifinale</t>
  </si>
  <si>
    <t>Meias Finais</t>
  </si>
  <si>
    <t>Semifinales</t>
  </si>
  <si>
    <t>Finale</t>
  </si>
  <si>
    <t>Gagnant</t>
  </si>
  <si>
    <t>Sieger</t>
  </si>
  <si>
    <t>Vincitore</t>
  </si>
  <si>
    <t>Vencedor</t>
  </si>
  <si>
    <t>Ganador</t>
  </si>
  <si>
    <t>Second</t>
  </si>
  <si>
    <t>Zweiter</t>
  </si>
  <si>
    <t>Qualificato</t>
  </si>
  <si>
    <t>Vencido</t>
  </si>
  <si>
    <t>Subcampeón</t>
  </si>
  <si>
    <t>Temps réglementaire</t>
  </si>
  <si>
    <t>Reguläre Spielzeit</t>
  </si>
  <si>
    <t>Tempo regolamentare</t>
  </si>
  <si>
    <t>Tempo Regulamentar</t>
  </si>
  <si>
    <t>90 minutos</t>
  </si>
  <si>
    <t>Tirs au but</t>
  </si>
  <si>
    <t>Elfmeterschießen</t>
  </si>
  <si>
    <t>Rigori</t>
  </si>
  <si>
    <t>Penáltis</t>
  </si>
  <si>
    <t>Penaltys</t>
  </si>
  <si>
    <t>Meister</t>
  </si>
  <si>
    <t>Campione</t>
  </si>
  <si>
    <t>Campeão</t>
  </si>
  <si>
    <t>Campeón</t>
  </si>
  <si>
    <t>Spiel #</t>
  </si>
  <si>
    <t>Partita n°</t>
  </si>
  <si>
    <t>Jogo #</t>
  </si>
  <si>
    <t>Partido #</t>
  </si>
  <si>
    <t>Groupe A Vainqueur</t>
  </si>
  <si>
    <t>Sieger Gruppe A</t>
  </si>
  <si>
    <t>Vincitore gruppo A</t>
  </si>
  <si>
    <t>Vencedor Grupo A</t>
  </si>
  <si>
    <t>Primero Grupo A</t>
  </si>
  <si>
    <t>Groupe B Vainqueur</t>
  </si>
  <si>
    <t>Sieger Gruppe B</t>
  </si>
  <si>
    <t>Vincitore gruppo B</t>
  </si>
  <si>
    <t>Vencedor Grupo B</t>
  </si>
  <si>
    <t>Primero Grupo B</t>
  </si>
  <si>
    <t>Groupe C Vainqueur</t>
  </si>
  <si>
    <t>Sieger Gruppe C</t>
  </si>
  <si>
    <t>Vincitore gruppo C</t>
  </si>
  <si>
    <t>Vencedor Grupo C</t>
  </si>
  <si>
    <t>Primero Grupo C</t>
  </si>
  <si>
    <t>Groupe D Vainqueur</t>
  </si>
  <si>
    <t>Sieger Gruppe D</t>
  </si>
  <si>
    <t>Vincitore gruppo D</t>
  </si>
  <si>
    <t>Vencedor Grupo D</t>
  </si>
  <si>
    <t>Primero Grupo D</t>
  </si>
  <si>
    <t>Groupe E Vainqueur</t>
  </si>
  <si>
    <t>Sieger Gruppe E</t>
  </si>
  <si>
    <t>Vincitore gruppo E</t>
  </si>
  <si>
    <t>Vencedor Grupo E</t>
  </si>
  <si>
    <t>Primero Grupo E</t>
  </si>
  <si>
    <t>Groupe F Vainqueur</t>
  </si>
  <si>
    <t>Sieger Gruppe F</t>
  </si>
  <si>
    <t>Vincitore gruppo F</t>
  </si>
  <si>
    <t>Vencedor Grupo F</t>
  </si>
  <si>
    <t>Primero Grupo F</t>
  </si>
  <si>
    <t>Groupe G Vainqueur</t>
  </si>
  <si>
    <t>Sieger Gruppe G</t>
  </si>
  <si>
    <t>Vincitore gruppo G</t>
  </si>
  <si>
    <t>Vencedor Grupo G</t>
  </si>
  <si>
    <t>Primero Grupo G</t>
  </si>
  <si>
    <t>Groupe H Vainqueur</t>
  </si>
  <si>
    <t>Sieger Gruppe H</t>
  </si>
  <si>
    <t>Vincitore gruppo H</t>
  </si>
  <si>
    <t>Vencedor Grupo H</t>
  </si>
  <si>
    <t>Primero Grupo H</t>
  </si>
  <si>
    <t>Second Groupe A</t>
  </si>
  <si>
    <t>Zweiter Gruppe A</t>
  </si>
  <si>
    <t>Seconda gruppo A</t>
  </si>
  <si>
    <t>2º Classificado Grupo A</t>
  </si>
  <si>
    <t>Segundo Grupo A</t>
  </si>
  <si>
    <t>Second Groupe B</t>
  </si>
  <si>
    <t>Zweiter Gruppe B</t>
  </si>
  <si>
    <t>Seconda gruppo B</t>
  </si>
  <si>
    <t>2º Classificado Grupo B</t>
  </si>
  <si>
    <t>Segundo Grupo B</t>
  </si>
  <si>
    <t>Second Groupe C</t>
  </si>
  <si>
    <t>Zweiter Gruppe C</t>
  </si>
  <si>
    <t>Seconda gruppo C</t>
  </si>
  <si>
    <t>2º Classificado Grupo C</t>
  </si>
  <si>
    <t>Segundo Grupo C</t>
  </si>
  <si>
    <t>Second Groupe D</t>
  </si>
  <si>
    <t>Zweiter Gruppe D</t>
  </si>
  <si>
    <t>Seconda gruppo D</t>
  </si>
  <si>
    <t>2º Classificado Grupo D</t>
  </si>
  <si>
    <t>Segundo Grupo D</t>
  </si>
  <si>
    <t>Second Groupe E</t>
  </si>
  <si>
    <t>Zweiter Gruppe E</t>
  </si>
  <si>
    <t>Seconda gruppo E</t>
  </si>
  <si>
    <t>2º Classificado Grupo E</t>
  </si>
  <si>
    <t>Segundo Grupo E</t>
  </si>
  <si>
    <t>Second Groupe F</t>
  </si>
  <si>
    <t>Zweiter Gruppe F</t>
  </si>
  <si>
    <t>Seconda gruppo F</t>
  </si>
  <si>
    <t>2º Classificado Grupo F</t>
  </si>
  <si>
    <t>Segundo Grupo F</t>
  </si>
  <si>
    <t>Second Groupe G</t>
  </si>
  <si>
    <t>Zweiter Gruppe G</t>
  </si>
  <si>
    <t>Seconda gruppo G</t>
  </si>
  <si>
    <t>2º Classificado Grupo G</t>
  </si>
  <si>
    <t>Segundo Grupo G</t>
  </si>
  <si>
    <t>Second Groupe H</t>
  </si>
  <si>
    <t>Zweiter Gruppe H</t>
  </si>
  <si>
    <t>Seconda gruppo H</t>
  </si>
  <si>
    <t>2º Classificado Grupo H</t>
  </si>
  <si>
    <t>Segundo Grupo H</t>
  </si>
  <si>
    <t>Match 53 Vainqueur</t>
  </si>
  <si>
    <t>Sieger Spiel 53</t>
  </si>
  <si>
    <t>Vincitore partita 53</t>
  </si>
  <si>
    <t>Vencedor Jogo 53</t>
  </si>
  <si>
    <t>Ganador partido 53</t>
  </si>
  <si>
    <t>Match 54 Vainqueur</t>
  </si>
  <si>
    <t>Sieger Spiel 54</t>
  </si>
  <si>
    <t>Vincitore partita 54</t>
  </si>
  <si>
    <t>Vencedor Jogo 54</t>
  </si>
  <si>
    <t>Ganador partido 54</t>
  </si>
  <si>
    <t>Match 55 Vainqueur</t>
  </si>
  <si>
    <t>Sieger Spiel 55</t>
  </si>
  <si>
    <t>Vincitore partita 55</t>
  </si>
  <si>
    <t>Vencedor Jogo 55</t>
  </si>
  <si>
    <t>Ganador partido 55</t>
  </si>
  <si>
    <t>Match 56 Vainqueur</t>
  </si>
  <si>
    <t>Sieger Spiel 56</t>
  </si>
  <si>
    <t>Vincitore partita 56</t>
  </si>
  <si>
    <t>Vencedor Jogo 56</t>
  </si>
  <si>
    <t>Ganador partido 56</t>
  </si>
  <si>
    <t>Match 57 Vainqueur</t>
  </si>
  <si>
    <t>Sieger Spiel 57</t>
  </si>
  <si>
    <t>Vincitore partita 57</t>
  </si>
  <si>
    <t>Vencedor Jogo 57</t>
  </si>
  <si>
    <t>Ganador partido 57</t>
  </si>
  <si>
    <t>Match 58 Vainqueur</t>
  </si>
  <si>
    <t>Sieger Spiel 58</t>
  </si>
  <si>
    <t>Vincitore partita 58</t>
  </si>
  <si>
    <t>Vencedor Jogo 58</t>
  </si>
  <si>
    <t>Ganador partido 58</t>
  </si>
  <si>
    <t>Match 59 Vainqueur</t>
  </si>
  <si>
    <t>Sieger Spiel 59</t>
  </si>
  <si>
    <t>Vincitore partita 59</t>
  </si>
  <si>
    <t>Vencedor Jogo 59</t>
  </si>
  <si>
    <t>Ganador partido 59</t>
  </si>
  <si>
    <t>Match 60 Vainqueur</t>
  </si>
  <si>
    <t>Sieger Spiel 60</t>
  </si>
  <si>
    <t>Vincitore partita 60</t>
  </si>
  <si>
    <t>Vencedor Jogo 60</t>
  </si>
  <si>
    <t>Ganador partido 60</t>
  </si>
  <si>
    <t>Match 61 Vainqueur</t>
  </si>
  <si>
    <t>Sieger Spiel 61</t>
  </si>
  <si>
    <t>Vincitore partita 61</t>
  </si>
  <si>
    <t>Vencedor Jogo 61</t>
  </si>
  <si>
    <t>Ganador partido 61</t>
  </si>
  <si>
    <t>Match 62 Vainqueur</t>
  </si>
  <si>
    <t>Sieger Spiel 62</t>
  </si>
  <si>
    <t>Vincitore partita 62</t>
  </si>
  <si>
    <t>Vencedor Jogo 62</t>
  </si>
  <si>
    <t>Ganador partido 62</t>
  </si>
  <si>
    <t>Match 63 Vainqueur</t>
  </si>
  <si>
    <t>Sieger Spiel 63</t>
  </si>
  <si>
    <t>Vincitore partita 63</t>
  </si>
  <si>
    <t>Vencedor Jogo 63</t>
  </si>
  <si>
    <t>Ganador partido 63</t>
  </si>
  <si>
    <t>Match 64 Vainqueur</t>
  </si>
  <si>
    <t>Sieger Spiel 64</t>
  </si>
  <si>
    <t>Vincitore partita 64</t>
  </si>
  <si>
    <t>Vencedor Jogo 64</t>
  </si>
  <si>
    <t>Ganador del partido 64</t>
  </si>
  <si>
    <t xml:space="preserve">Joué </t>
  </si>
  <si>
    <t>Giocate</t>
  </si>
  <si>
    <t>Jugados</t>
  </si>
  <si>
    <t>Gagné</t>
  </si>
  <si>
    <t>Gewonnen</t>
  </si>
  <si>
    <t>Vinte</t>
  </si>
  <si>
    <t>Vitórias</t>
  </si>
  <si>
    <t>Ganados</t>
  </si>
  <si>
    <t>Nul</t>
  </si>
  <si>
    <t>Unentschieden</t>
  </si>
  <si>
    <t>Pareggiate</t>
  </si>
  <si>
    <t>Empates</t>
  </si>
  <si>
    <t>Empatados</t>
  </si>
  <si>
    <t>Perdu</t>
  </si>
  <si>
    <t>Verloren</t>
  </si>
  <si>
    <t>Perse</t>
  </si>
  <si>
    <t>Derrotas</t>
  </si>
  <si>
    <t>Perdidos</t>
  </si>
  <si>
    <t>But pour</t>
  </si>
  <si>
    <t>Tore</t>
  </si>
  <si>
    <t>Goal segnati</t>
  </si>
  <si>
    <t>Golos Marcados</t>
  </si>
  <si>
    <t>Goles a favor</t>
  </si>
  <si>
    <t>But contre</t>
  </si>
  <si>
    <t>Gegentore</t>
  </si>
  <si>
    <t>Goal subiti</t>
  </si>
  <si>
    <t>Golos Sofridos</t>
  </si>
  <si>
    <t>Goles en contra</t>
  </si>
  <si>
    <t>Punkte</t>
  </si>
  <si>
    <t>Punti</t>
  </si>
  <si>
    <t>Pontos</t>
  </si>
  <si>
    <t>Puntos</t>
  </si>
  <si>
    <t>Deuxième place</t>
  </si>
  <si>
    <t>Zweiter Platz</t>
  </si>
  <si>
    <t>Secondo posto</t>
  </si>
  <si>
    <t>Segundo Lugar</t>
  </si>
  <si>
    <t>Segunda puesto</t>
  </si>
  <si>
    <t>Groupe A</t>
  </si>
  <si>
    <t>Gruppe A</t>
  </si>
  <si>
    <t>Gruppo A</t>
  </si>
  <si>
    <t>Grupo A</t>
  </si>
  <si>
    <t>Groupe B</t>
  </si>
  <si>
    <t>Gruppe B</t>
  </si>
  <si>
    <t>Gruppo B</t>
  </si>
  <si>
    <t>Grupo B</t>
  </si>
  <si>
    <t>Groupe C</t>
  </si>
  <si>
    <t>Gruppe C</t>
  </si>
  <si>
    <t>Gruppo C</t>
  </si>
  <si>
    <t>Grupo C</t>
  </si>
  <si>
    <t>Groupe D</t>
  </si>
  <si>
    <t>Gruppe D</t>
  </si>
  <si>
    <t>Gruppo D</t>
  </si>
  <si>
    <t>Grupo D</t>
  </si>
  <si>
    <t>Groupe E</t>
  </si>
  <si>
    <t>Gruppe E</t>
  </si>
  <si>
    <t>Gruppo E</t>
  </si>
  <si>
    <t>Grupo E</t>
  </si>
  <si>
    <t>Groupe F</t>
  </si>
  <si>
    <t>Gruppe F</t>
  </si>
  <si>
    <t>Gruppo F</t>
  </si>
  <si>
    <t>Grupo F</t>
  </si>
  <si>
    <t>Groupe G</t>
  </si>
  <si>
    <t>Gruppe G</t>
  </si>
  <si>
    <t>Gruppo G</t>
  </si>
  <si>
    <t>Grupo G</t>
  </si>
  <si>
    <t>Groupe H</t>
  </si>
  <si>
    <t>Gruppe H</t>
  </si>
  <si>
    <t>Gruppo H</t>
  </si>
  <si>
    <t>Grupo H</t>
  </si>
  <si>
    <t>Match 49 Vainqueur</t>
  </si>
  <si>
    <t>Sieger Spiel 49</t>
  </si>
  <si>
    <t>Vincitore partita 49</t>
  </si>
  <si>
    <t>Vencedor Jogo 49</t>
  </si>
  <si>
    <t>Ganador partido 49</t>
  </si>
  <si>
    <t>Match 50 Vainqueur</t>
  </si>
  <si>
    <t>Sieger Spiel 50</t>
  </si>
  <si>
    <t>Vincitore partita 50</t>
  </si>
  <si>
    <t>Vencedor Jogo 50</t>
  </si>
  <si>
    <t>Ganador partido 50</t>
  </si>
  <si>
    <t>Match 51 Vainqueur</t>
  </si>
  <si>
    <t>Sieger Spiel 51</t>
  </si>
  <si>
    <t>Vincitore partita 51</t>
  </si>
  <si>
    <t>Vencedor Jogo 51</t>
  </si>
  <si>
    <t>Ganador partido 51</t>
  </si>
  <si>
    <t>Match 52 Vainqueur</t>
  </si>
  <si>
    <t>Sieger Spiel 52</t>
  </si>
  <si>
    <t>Vincitore partita 52</t>
  </si>
  <si>
    <t>Vencedor Jogo 52</t>
  </si>
  <si>
    <t>Ganador partido 52</t>
  </si>
  <si>
    <t>Match 61 Perdant</t>
  </si>
  <si>
    <t>Verlierer Spiel 61</t>
  </si>
  <si>
    <t>Perdente partita 61</t>
  </si>
  <si>
    <t>Derrotado Jogo 61</t>
  </si>
  <si>
    <t>Perdedor partido 61</t>
  </si>
  <si>
    <t>Match 62 Perdant</t>
  </si>
  <si>
    <t>Verlierer Spiel 62</t>
  </si>
  <si>
    <t>Perdente partita 62</t>
  </si>
  <si>
    <t>Derrotado Jogo 62</t>
  </si>
  <si>
    <t>Perdedor partido 62</t>
  </si>
  <si>
    <t>Lieu</t>
  </si>
  <si>
    <t>Veranstaltungsort</t>
  </si>
  <si>
    <t>Luogo</t>
  </si>
  <si>
    <t>Local</t>
  </si>
  <si>
    <t>Evento</t>
  </si>
  <si>
    <t>Programme et Feuille de match de la Coupe du Monde 2022</t>
  </si>
  <si>
    <t>Weltmeisterschaft 2022 Spielplan und Ergebnisse</t>
  </si>
  <si>
    <t>Coppa del Mondo 2022 programma e risultati</t>
  </si>
  <si>
    <t>Campeonato Mundial 2022 Horários e Resultados</t>
  </si>
  <si>
    <t>Copa del Mundo de 2022, Horario y Puntuaciones</t>
  </si>
  <si>
    <t xml:space="preserve">Champion Coupe du Monde 2022 </t>
  </si>
  <si>
    <t>Weltmeister 2022</t>
  </si>
  <si>
    <t>Campione del Mondo 2022</t>
  </si>
  <si>
    <t>Campeão Mundial 2022</t>
  </si>
  <si>
    <t>Campeón de la Copa del Mundo 2022</t>
  </si>
  <si>
    <t>Won in Group Stages</t>
  </si>
  <si>
    <t>Lose in Group and KO Stages</t>
  </si>
  <si>
    <t>Won by KO Rounds</t>
  </si>
  <si>
    <t>Original</t>
  </si>
  <si>
    <t>Language ►</t>
  </si>
  <si>
    <t>Custom Language Translation Title ►</t>
  </si>
  <si>
    <t>◄</t>
  </si>
  <si>
    <t>Select your time preference by adding or subtracting your local time with Qatar time</t>
  </si>
  <si>
    <t>Do not forget to select your Custom Language translation title in cell C5 to translate matches worksheet to your language after you filling all translation rows in column C</t>
  </si>
  <si>
    <t>You may need to type FAIR PLAY points if two or more teams in group standings have to go through tie-breaker 7 where their standings is decided by fair play point</t>
  </si>
  <si>
    <t>TIE BREAKER REGULATION</t>
  </si>
  <si>
    <t>Points obtained in all group matches;</t>
  </si>
  <si>
    <t>Goal difference in all group matches;</t>
  </si>
  <si>
    <t>Number of goals scored in all group matches;</t>
  </si>
  <si>
    <t>Points obtained in the matches played between the teams in question;</t>
  </si>
  <si>
    <t>Goal difference in the matches played between the teams in question;</t>
  </si>
  <si>
    <t>Number of goals scored in the matches played between the teams in question;</t>
  </si>
  <si>
    <t>Drawing of lots.</t>
  </si>
  <si>
    <t>&gt; Yellow card: −1 point;</t>
  </si>
  <si>
    <t>&gt; Indirect red card (second yellow card): −3 points;</t>
  </si>
  <si>
    <t>&gt; Direct red card: −4 points;</t>
  </si>
  <si>
    <t>&gt; Yellow card and direct red card: −5 points;</t>
  </si>
  <si>
    <t>The ranking of teams in the group stage is determined as follows:</t>
  </si>
  <si>
    <t>Do not change or sort country order. It will break country reference formula</t>
  </si>
  <si>
    <t>Knock Out Rounds</t>
  </si>
  <si>
    <t>LICENSE</t>
  </si>
  <si>
    <t>ABOUT</t>
  </si>
  <si>
    <t>UPDATE</t>
  </si>
  <si>
    <t>Editiion</t>
  </si>
  <si>
    <t>Version</t>
  </si>
  <si>
    <t>License</t>
  </si>
  <si>
    <t>Single User</t>
  </si>
  <si>
    <t>Product Info</t>
  </si>
  <si>
    <t>https://journalsheet.com</t>
  </si>
  <si>
    <t>Support</t>
  </si>
  <si>
    <t>support@journalsheet.com</t>
  </si>
  <si>
    <t>Copyrights ©</t>
  </si>
  <si>
    <r>
      <t>journal</t>
    </r>
    <r>
      <rPr>
        <b/>
        <sz val="22"/>
        <color rgb="FF00B050"/>
        <rFont val="Calibri"/>
        <family val="2"/>
        <scheme val="minor"/>
      </rPr>
      <t>SHEET</t>
    </r>
    <r>
      <rPr>
        <b/>
        <sz val="22"/>
        <color theme="0"/>
        <rFont val="Calibri"/>
        <family val="2"/>
        <scheme val="minor"/>
      </rPr>
      <t>.com</t>
    </r>
  </si>
  <si>
    <r>
      <t xml:space="preserve">Select your language. There are only 6 translated language. You can translate default English language to your own by typing its translation in column C. </t>
    </r>
    <r>
      <rPr>
        <sz val="11"/>
        <color rgb="FFFF0000"/>
        <rFont val="Calibri"/>
        <family val="2"/>
        <scheme val="minor"/>
      </rPr>
      <t>YOU NEED TO TRANSLATE ALL TEXTS FROM COLUMN B</t>
    </r>
    <r>
      <rPr>
        <sz val="11"/>
        <rFont val="Calibri"/>
        <family val="2"/>
        <scheme val="minor"/>
      </rPr>
      <t xml:space="preserve"> if you want to use your own translation.</t>
    </r>
  </si>
  <si>
    <t>Get more sport spreadsheets in journalSHEET.com</t>
  </si>
  <si>
    <t>Palmeiras</t>
  </si>
  <si>
    <t>BRA</t>
  </si>
  <si>
    <t>Porto</t>
  </si>
  <si>
    <t>POR</t>
  </si>
  <si>
    <t>Al Ahly</t>
  </si>
  <si>
    <t>EGY</t>
  </si>
  <si>
    <t>Inter Miami</t>
  </si>
  <si>
    <t>USA</t>
  </si>
  <si>
    <t>Paris Saint-Germain</t>
  </si>
  <si>
    <t>FRA</t>
  </si>
  <si>
    <t>Atletico Madrid</t>
  </si>
  <si>
    <t>ESP</t>
  </si>
  <si>
    <t>Botafogo</t>
  </si>
  <si>
    <t>Seattle Sounders</t>
  </si>
  <si>
    <t>Bayern Munich</t>
  </si>
  <si>
    <t>GER</t>
  </si>
  <si>
    <t>Auckland City</t>
  </si>
  <si>
    <t>NZA</t>
  </si>
  <si>
    <t>Boca Juniors</t>
  </si>
  <si>
    <t>ARG</t>
  </si>
  <si>
    <t>Benfica</t>
  </si>
  <si>
    <t>Flamengo</t>
  </si>
  <si>
    <t>Espérance Sportive de Tunis</t>
  </si>
  <si>
    <t>TUN</t>
  </si>
  <si>
    <t>Chelsea</t>
  </si>
  <si>
    <t>ENG</t>
  </si>
  <si>
    <t>MEX</t>
  </si>
  <si>
    <t>River Plate</t>
  </si>
  <si>
    <t>Urawa Red Diamonds</t>
  </si>
  <si>
    <t>JPN</t>
  </si>
  <si>
    <t>Monterrey</t>
  </si>
  <si>
    <t>Internazionale</t>
  </si>
  <si>
    <t>ITA</t>
  </si>
  <si>
    <t>Fluminense</t>
  </si>
  <si>
    <t>Borussia Dortmund</t>
  </si>
  <si>
    <t>Ulsan HD</t>
  </si>
  <si>
    <t>KOR</t>
  </si>
  <si>
    <t>Mamelodi Sundowns</t>
  </si>
  <si>
    <t>RSA</t>
  </si>
  <si>
    <t>Manchester City</t>
  </si>
  <si>
    <t>Wydad AC</t>
  </si>
  <si>
    <t>MAR</t>
  </si>
  <si>
    <t>Al Ain</t>
  </si>
  <si>
    <t>UAE</t>
  </si>
  <si>
    <t>Juventus</t>
  </si>
  <si>
    <t>Real Madrid</t>
  </si>
  <si>
    <t>Al Hilal</t>
  </si>
  <si>
    <t>KSA</t>
  </si>
  <si>
    <t>Pachuca</t>
  </si>
  <si>
    <t>Salzburg</t>
  </si>
  <si>
    <t>AUT</t>
  </si>
  <si>
    <t>Rule</t>
  </si>
  <si>
    <t>table rank 1</t>
  </si>
  <si>
    <t>table rank 2</t>
  </si>
  <si>
    <t>table rank 3</t>
  </si>
  <si>
    <t>table rank 4</t>
  </si>
  <si>
    <t>GS</t>
  </si>
  <si>
    <t>GA</t>
  </si>
  <si>
    <t>Diff</t>
  </si>
  <si>
    <t>Points</t>
  </si>
  <si>
    <t>Rank</t>
  </si>
  <si>
    <t>rankall points</t>
  </si>
  <si>
    <t>rerank</t>
  </si>
  <si>
    <t>rank 1</t>
  </si>
  <si>
    <t>rank 2</t>
  </si>
  <si>
    <t>rank 3</t>
  </si>
  <si>
    <t>rank 4</t>
  </si>
  <si>
    <t>Team</t>
  </si>
  <si>
    <t>Sdif</t>
  </si>
  <si>
    <t>SGS</t>
  </si>
  <si>
    <t>Koef</t>
  </si>
  <si>
    <t>Pts</t>
  </si>
  <si>
    <t>R</t>
  </si>
  <si>
    <t>GD</t>
  </si>
  <si>
    <t>Sdiff</t>
  </si>
  <si>
    <t>FR</t>
  </si>
  <si>
    <t>Y</t>
  </si>
  <si>
    <t>all the same</t>
  </si>
  <si>
    <t>points</t>
  </si>
  <si>
    <t>table rank-1 2</t>
  </si>
  <si>
    <t>table rank-2 2</t>
  </si>
  <si>
    <t>Hard Rock,Miami</t>
  </si>
  <si>
    <t>TQL, Cincinnati</t>
  </si>
  <si>
    <t>Rose Bowl, LA</t>
  </si>
  <si>
    <t>MetLife, NJ</t>
  </si>
  <si>
    <t>Lumen, Seattle</t>
  </si>
  <si>
    <t>Mercedes-Benz, Atl</t>
  </si>
  <si>
    <t>Lincoln Financial, Phi</t>
  </si>
  <si>
    <t>Inter&amp;Co, Orl</t>
  </si>
  <si>
    <t>Audi, Washington</t>
  </si>
  <si>
    <t>Geodis Park, Nashville</t>
  </si>
  <si>
    <t>Bank of America, Cha</t>
  </si>
  <si>
    <t>Camping World, Orl</t>
  </si>
  <si>
    <t>DQ7</t>
  </si>
  <si>
    <t>DQ8</t>
  </si>
  <si>
    <t>DQ9</t>
  </si>
  <si>
    <t>DQ10</t>
  </si>
  <si>
    <t>DQ11</t>
  </si>
  <si>
    <t>DQ12</t>
  </si>
  <si>
    <t>DQ13</t>
  </si>
  <si>
    <t>DQ14</t>
  </si>
  <si>
    <t>DQ15</t>
  </si>
  <si>
    <t>DQ16</t>
  </si>
  <si>
    <t>DQ17</t>
  </si>
  <si>
    <t>DQ18</t>
  </si>
  <si>
    <t>DQ19</t>
  </si>
  <si>
    <t>DQ20</t>
  </si>
  <si>
    <t>DQ21</t>
  </si>
  <si>
    <t>DQ22</t>
  </si>
  <si>
    <t>DQ23</t>
  </si>
  <si>
    <t>DQ24</t>
  </si>
  <si>
    <t>DQ25</t>
  </si>
  <si>
    <t>DQ26</t>
  </si>
  <si>
    <t>DQ27</t>
  </si>
  <si>
    <t>DQ28</t>
  </si>
  <si>
    <t>DQ29</t>
  </si>
  <si>
    <t>DQ30</t>
  </si>
  <si>
    <t>DQ31</t>
  </si>
  <si>
    <t>DQ32</t>
  </si>
  <si>
    <t>DQ33</t>
  </si>
  <si>
    <t>DQ34</t>
  </si>
  <si>
    <t>DQ35</t>
  </si>
  <si>
    <t>DQ36</t>
  </si>
  <si>
    <t>DQ37</t>
  </si>
  <si>
    <t>DQ38</t>
  </si>
  <si>
    <t>Club World Cup 2025 Schedule</t>
  </si>
  <si>
    <t>Club World Cup 2025 Champion</t>
  </si>
  <si>
    <t>Club World Cup 2025 Runner Up</t>
  </si>
  <si>
    <t>Club World Cup 2025 3rd Place</t>
  </si>
  <si>
    <t>Club World Cup 2025 Fixtures</t>
  </si>
  <si>
    <t>GROUP MATCHES ARE SORTED BY MATCH NUMBER</t>
  </si>
  <si>
    <t>Fill full time scores in column J and K</t>
  </si>
  <si>
    <t xml:space="preserve">Fill penalty shoot out scores in KO rounds in columns at the right of Full Time scores columns </t>
  </si>
  <si>
    <t>Group standings will be calculated automatically based on official FIFA Club World Cup Tie Breaker regulation</t>
  </si>
  <si>
    <t>local time</t>
  </si>
  <si>
    <t>eastern time</t>
  </si>
  <si>
    <t>Time Difference with  New York Time (ET) ►</t>
  </si>
  <si>
    <t>Your City Name</t>
  </si>
  <si>
    <t>You may type your city name in cell D6. It will be shown if you change time zone to your timezone in cell Q2 in Matches Tab</t>
  </si>
  <si>
    <t>Club WC 2025 FIXTURES | FULLY EDITABLE</t>
  </si>
  <si>
    <t>2025 | journalSHEET.com</t>
  </si>
  <si>
    <t>V2.53 - Initial release (04/25/25)</t>
  </si>
  <si>
    <t>© 2025 | journalSHEET.com</t>
  </si>
  <si>
    <t xml:space="preserve">You will get unprotected Schedule as follows </t>
  </si>
  <si>
    <t>Excel | Club WC 2025 Schedule - No Flags - Letter Size</t>
  </si>
  <si>
    <t>Excel | Club WC 2025 Schedule - Nation Flags - Letter Size</t>
  </si>
  <si>
    <t>Excel | Club WC 2025 Schedule - Club Flags - Letter Size</t>
  </si>
  <si>
    <t>Excel | Club WC 2025 Schedule - No Flags - A3 Size</t>
  </si>
  <si>
    <t>Excel | Club WC 2025 Schedule - Nation Flags - A3 Size</t>
  </si>
  <si>
    <t>Excel | Club WC 2025 Schedule - Club Flags - A3 Size</t>
  </si>
  <si>
    <t>Google Sheets | Club WC 2025 Schedule - No Flags - Letter Size (Link in TXT file)</t>
  </si>
  <si>
    <t>Google Sheets | Club WC 2025 Schedule - Nation Flags - No Automatic Flag Functions - Letter Size (Link in TXT file)</t>
  </si>
  <si>
    <t>Google Sheets | Club WC 2025 Schedule - Club Flags - No Automatic Flag Functions - Letter Size (Link in TXT file)</t>
  </si>
  <si>
    <t>Check Club World Cup 2025 Predictor Game to play prediction game below</t>
  </si>
  <si>
    <t>https://journalsheet.com/product/js843-ss-xl-%e2%97%89-club-world-cup-2025-predictor-game</t>
  </si>
  <si>
    <t>US 8</t>
  </si>
  <si>
    <t>If, after having applied criteria 1 to 3, teams still have an equal ranking, criteria 2 to 4 are reapplied exclusively to the matches between the teams who are still level to determine their final rankings.[a] If this procedure does not lead to a decision, criteria 6 to 9 will apply;</t>
  </si>
  <si>
    <t xml:space="preserve"> Fair play points in all group matches (only one deduction can be applied to a player or coach in a single match):</t>
  </si>
  <si>
    <r>
      <t xml:space="preserve">WANNA PLAY PREDICTION GAME with YOUR FRIENDS? 
</t>
    </r>
    <r>
      <rPr>
        <b/>
        <sz val="12"/>
        <color rgb="FFFFFF00"/>
        <rFont val="Calibri"/>
        <family val="2"/>
        <scheme val="minor"/>
      </rPr>
      <t>CLICK HERE TO GET PREDICTOR GAME SPREADSHEET</t>
    </r>
  </si>
  <si>
    <r>
      <t xml:space="preserve">WANNA CUSTOMIZE and ADD YOUR BUSINESS INFO ? 
</t>
    </r>
    <r>
      <rPr>
        <b/>
        <sz val="12"/>
        <color rgb="FFFFFF00"/>
        <rFont val="Calibri"/>
        <family val="2"/>
        <scheme val="minor"/>
      </rPr>
      <t>CLICK HERE TO PURCHASE UNPROTECTED SPREADSHEET</t>
    </r>
  </si>
  <si>
    <t>DO NOT REMOVE COPYRIGHT NOTICE</t>
  </si>
  <si>
    <t>IT WILL BREAK FORMULA &amp; YOUR SPREADSHEET WON'T WORK PROPERLY</t>
  </si>
  <si>
    <t>Los Angeles</t>
  </si>
  <si>
    <t>2.54</t>
  </si>
  <si>
    <t>V2.54 - Fixed incorrect group standing in Group G &amp; H (06/11/25)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</si>
</sst>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h:mm;@"/>
    <numFmt numFmtId="165" formatCode="m/d/yy\ h:mm;@"/>
    <numFmt numFmtId="166" formatCode="[$-409]m/d/yy\ h:mm\ AM/PM;@"/>
  </numFmts>
  <fonts count="39" x14ac:knownFonts="1">
    <font>
      <sz val="10"/>
      <name val="Arial"/>
      <family val="2"/>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1"/>
      <color indexed="10"/>
      <name val="Calibri"/>
      <family val="2"/>
      <scheme val="minor"/>
    </font>
    <font>
      <sz val="11"/>
      <color rgb="FFC00000"/>
      <name val="Calibri"/>
      <family val="2"/>
      <scheme val="minor"/>
    </font>
    <font>
      <b/>
      <sz val="28"/>
      <name val="Calibri"/>
      <family val="2"/>
      <scheme val="minor"/>
    </font>
    <font>
      <sz val="10"/>
      <name val="Calibri"/>
      <family val="2"/>
      <scheme val="minor"/>
    </font>
    <font>
      <i/>
      <sz val="11"/>
      <name val="Calibri"/>
      <family val="2"/>
      <scheme val="minor"/>
    </font>
    <font>
      <sz val="10"/>
      <color theme="0"/>
      <name val="Calibri"/>
      <family val="2"/>
      <scheme val="minor"/>
    </font>
    <font>
      <b/>
      <sz val="10"/>
      <color theme="0"/>
      <name val="Calibri"/>
      <family val="2"/>
      <scheme val="minor"/>
    </font>
    <font>
      <b/>
      <sz val="10"/>
      <name val="Calibri"/>
      <family val="2"/>
      <scheme val="minor"/>
    </font>
    <font>
      <sz val="18"/>
      <color theme="0"/>
      <name val="Calibri"/>
      <family val="2"/>
      <scheme val="minor"/>
    </font>
    <font>
      <b/>
      <sz val="11"/>
      <name val="Calibri"/>
      <family val="2"/>
      <scheme val="minor"/>
    </font>
    <font>
      <i/>
      <sz val="11"/>
      <color theme="1" tint="0.499984740745262"/>
      <name val="Calibri"/>
      <family val="2"/>
      <scheme val="minor"/>
    </font>
    <font>
      <b/>
      <sz val="11"/>
      <color theme="5" tint="-0.249977111117893"/>
      <name val="Calibri"/>
      <family val="2"/>
      <scheme val="minor"/>
    </font>
    <font>
      <u/>
      <sz val="10"/>
      <color indexed="12"/>
      <name val="Arial"/>
      <family val="2"/>
    </font>
    <font>
      <sz val="10"/>
      <color rgb="FFFF0000"/>
      <name val="Arial"/>
      <family val="2"/>
    </font>
    <font>
      <b/>
      <sz val="14"/>
      <name val="Calibri"/>
      <family val="2"/>
      <scheme val="minor"/>
    </font>
    <font>
      <u/>
      <sz val="11"/>
      <color indexed="12"/>
      <name val="Calibri"/>
      <family val="2"/>
      <scheme val="minor"/>
    </font>
    <font>
      <b/>
      <sz val="11"/>
      <color rgb="FFFF0000"/>
      <name val="Calibri"/>
      <family val="2"/>
      <scheme val="minor"/>
    </font>
    <font>
      <sz val="10"/>
      <name val="Arial"/>
      <family val="2"/>
    </font>
    <font>
      <b/>
      <sz val="22"/>
      <color theme="0"/>
      <name val="Calibri"/>
      <family val="2"/>
      <scheme val="minor"/>
    </font>
    <font>
      <u/>
      <sz val="11"/>
      <color theme="0"/>
      <name val="Calibri"/>
      <family val="2"/>
      <scheme val="minor"/>
    </font>
    <font>
      <sz val="11"/>
      <color theme="0" tint="-4.9989318521683403E-2"/>
      <name val="Calibri"/>
      <family val="2"/>
      <scheme val="minor"/>
    </font>
    <font>
      <b/>
      <sz val="22"/>
      <color rgb="FF00B050"/>
      <name val="Calibri"/>
      <family val="2"/>
      <scheme val="minor"/>
    </font>
    <font>
      <b/>
      <sz val="12"/>
      <color theme="0"/>
      <name val="Calibri"/>
      <family val="2"/>
      <scheme val="minor"/>
    </font>
    <font>
      <b/>
      <sz val="20"/>
      <name val="Calibri"/>
      <family val="2"/>
      <scheme val="minor"/>
    </font>
    <font>
      <u/>
      <sz val="12"/>
      <color indexed="12"/>
      <name val="Calibri"/>
      <family val="2"/>
      <scheme val="minor"/>
    </font>
    <font>
      <b/>
      <sz val="32"/>
      <name val="Calibri"/>
      <family val="2"/>
      <scheme val="minor"/>
    </font>
    <font>
      <sz val="10"/>
      <color indexed="10"/>
      <name val="Calibri"/>
      <family val="2"/>
      <scheme val="minor"/>
    </font>
    <font>
      <sz val="11"/>
      <color theme="2" tint="-0.749992370372631"/>
      <name val="Calibri"/>
      <family val="2"/>
      <scheme val="minor"/>
    </font>
    <font>
      <sz val="11"/>
      <color theme="2" tint="-0.749992370372631"/>
      <name val="Wingdings 3"/>
      <family val="1"/>
      <charset val="2"/>
    </font>
    <font>
      <sz val="8"/>
      <name val="Arial"/>
      <family val="2"/>
    </font>
    <font>
      <u/>
      <sz val="11"/>
      <name val="Calibri"/>
      <family val="2"/>
      <scheme val="minor"/>
    </font>
    <font>
      <sz val="12"/>
      <color theme="0"/>
      <name val="Calibri"/>
      <family val="2"/>
      <scheme val="minor"/>
    </font>
    <font>
      <b/>
      <sz val="12"/>
      <color rgb="FFFFFF00"/>
      <name val="Calibri"/>
      <family val="2"/>
      <scheme val="minor"/>
    </font>
    <font>
      <b/>
      <sz val="24"/>
      <name val="Calibri"/>
      <family val="2"/>
      <scheme val="minor"/>
    </font>
  </fonts>
  <fills count="21">
    <fill>
      <patternFill patternType="none"/>
    </fill>
    <fill>
      <patternFill patternType="gray125"/>
    </fill>
    <fill>
      <patternFill patternType="solid">
        <fgColor theme="5"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1"/>
        <bgColor indexed="64"/>
      </patternFill>
    </fill>
    <fill>
      <patternFill patternType="solid">
        <fgColor theme="3" tint="0.79998168889431442"/>
        <bgColor indexed="64"/>
      </patternFill>
    </fill>
    <fill>
      <patternFill patternType="solid">
        <fgColor theme="2" tint="-0.89999084444715716"/>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rgb="FF008000"/>
        <bgColor indexed="64"/>
      </patternFill>
    </fill>
    <fill>
      <patternFill patternType="solid">
        <fgColor theme="5" tint="-0.249977111117893"/>
        <bgColor indexed="64"/>
      </patternFill>
    </fill>
    <fill>
      <patternFill patternType="solid">
        <fgColor rgb="FFFF0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double">
        <color theme="5" tint="-0.499984740745262"/>
      </left>
      <right/>
      <top style="double">
        <color theme="5" tint="-0.499984740745262"/>
      </top>
      <bottom/>
      <diagonal/>
    </border>
    <border>
      <left/>
      <right/>
      <top style="double">
        <color theme="5" tint="-0.499984740745262"/>
      </top>
      <bottom/>
      <diagonal/>
    </border>
    <border>
      <left/>
      <right style="double">
        <color theme="5" tint="-0.499984740745262"/>
      </right>
      <top style="double">
        <color theme="5" tint="-0.499984740745262"/>
      </top>
      <bottom/>
      <diagonal/>
    </border>
    <border>
      <left style="double">
        <color theme="5" tint="-0.499984740745262"/>
      </left>
      <right/>
      <top/>
      <bottom/>
      <diagonal/>
    </border>
    <border>
      <left/>
      <right style="double">
        <color theme="5" tint="-0.499984740745262"/>
      </right>
      <top/>
      <bottom/>
      <diagonal/>
    </border>
    <border>
      <left style="double">
        <color theme="5" tint="-0.499984740745262"/>
      </left>
      <right/>
      <top/>
      <bottom style="double">
        <color theme="5" tint="-0.499984740745262"/>
      </bottom>
      <diagonal/>
    </border>
    <border>
      <left/>
      <right/>
      <top/>
      <bottom style="double">
        <color theme="5" tint="-0.499984740745262"/>
      </bottom>
      <diagonal/>
    </border>
    <border>
      <left/>
      <right style="double">
        <color theme="5" tint="-0.499984740745262"/>
      </right>
      <top/>
      <bottom style="double">
        <color theme="5" tint="-0.499984740745262"/>
      </bottom>
      <diagonal/>
    </border>
    <border>
      <left/>
      <right/>
      <top style="thick">
        <color theme="5" tint="-0.499984740745262"/>
      </top>
      <bottom/>
      <diagonal/>
    </border>
    <border>
      <left style="thick">
        <color theme="5" tint="-0.499984740745262"/>
      </left>
      <right/>
      <top/>
      <bottom/>
      <diagonal/>
    </border>
    <border>
      <left/>
      <right style="thick">
        <color theme="5" tint="-0.499984740745262"/>
      </right>
      <top/>
      <bottom/>
      <diagonal/>
    </border>
    <border>
      <left/>
      <right/>
      <top/>
      <bottom style="thin">
        <color theme="5" tint="-0.499984740745262"/>
      </bottom>
      <diagonal/>
    </border>
    <border>
      <left/>
      <right style="thin">
        <color theme="0"/>
      </right>
      <top/>
      <bottom style="thin">
        <color theme="5" tint="-0.499984740745262"/>
      </bottom>
      <diagonal/>
    </border>
    <border>
      <left/>
      <right style="thin">
        <color theme="0"/>
      </right>
      <top/>
      <bottom/>
      <diagonal/>
    </border>
    <border>
      <left style="thick">
        <color theme="5" tint="-0.499984740745262"/>
      </left>
      <right/>
      <top/>
      <bottom style="thick">
        <color theme="5" tint="-0.499984740745262"/>
      </bottom>
      <diagonal/>
    </border>
    <border>
      <left/>
      <right/>
      <top/>
      <bottom style="thick">
        <color theme="5" tint="-0.499984740745262"/>
      </bottom>
      <diagonal/>
    </border>
    <border>
      <left/>
      <right style="thick">
        <color theme="5" tint="-0.499984740745262"/>
      </right>
      <top/>
      <bottom style="thick">
        <color theme="5" tint="-0.499984740745262"/>
      </bottom>
      <diagonal/>
    </border>
    <border>
      <left style="thin">
        <color theme="0" tint="-0.24994659260841701"/>
      </left>
      <right/>
      <top/>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ck">
        <color theme="2" tint="-0.749961851863155"/>
      </right>
      <top style="thick">
        <color theme="2" tint="-0.749961851863155"/>
      </top>
      <bottom style="thick">
        <color theme="2" tint="-0.749961851863155"/>
      </bottom>
      <diagonal/>
    </border>
    <border>
      <left/>
      <right/>
      <top style="thick">
        <color theme="2" tint="-0.749961851863155"/>
      </top>
      <bottom style="thick">
        <color theme="2" tint="-0.749961851863155"/>
      </bottom>
      <diagonal/>
    </border>
    <border>
      <left/>
      <right style="thin">
        <color indexed="64"/>
      </right>
      <top/>
      <bottom style="thick">
        <color theme="2" tint="-0.749961851863155"/>
      </bottom>
      <diagonal/>
    </border>
    <border>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top/>
      <bottom style="thick">
        <color theme="2" tint="-0.749961851863155"/>
      </bottom>
      <diagonal/>
    </border>
    <border>
      <left/>
      <right/>
      <top/>
      <bottom style="thin">
        <color theme="2" tint="-0.749961851863155"/>
      </bottom>
      <diagonal/>
    </border>
    <border>
      <left/>
      <right/>
      <top style="thick">
        <color theme="2" tint="-0.749961851863155"/>
      </top>
      <bottom style="thin">
        <color theme="2" tint="-0.749961851863155"/>
      </bottom>
      <diagonal/>
    </border>
    <border>
      <left/>
      <right style="thick">
        <color theme="5" tint="-0.499984740745262"/>
      </right>
      <top style="thick">
        <color theme="5" tint="-0.499984740745262"/>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0" fontId="22" fillId="0" borderId="0"/>
  </cellStyleXfs>
  <cellXfs count="260">
    <xf numFmtId="0" fontId="0" fillId="0" borderId="0" xfId="0"/>
    <xf numFmtId="0" fontId="4"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4" fillId="0" borderId="0" xfId="0" applyFont="1" applyAlignment="1" applyProtection="1">
      <alignment vertical="center" wrapText="1"/>
      <protection hidden="1"/>
    </xf>
    <xf numFmtId="0" fontId="4" fillId="0" borderId="0" xfId="0" applyFont="1" applyAlignment="1" applyProtection="1">
      <alignment horizontal="right" vertical="center" indent="1"/>
      <protection hidden="1"/>
    </xf>
    <xf numFmtId="0" fontId="4" fillId="0" borderId="0" xfId="0" applyFont="1" applyAlignment="1" applyProtection="1">
      <alignment horizontal="left" vertical="center" indent="1"/>
      <protection hidden="1"/>
    </xf>
    <xf numFmtId="0" fontId="8"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left" vertical="center" indent="1"/>
      <protection hidden="1"/>
    </xf>
    <xf numFmtId="0" fontId="3" fillId="0" borderId="0" xfId="0" applyFont="1" applyAlignment="1" applyProtection="1">
      <alignment horizontal="center" vertical="center"/>
      <protection hidden="1"/>
    </xf>
    <xf numFmtId="0" fontId="2" fillId="0" borderId="0" xfId="0" applyFont="1" applyAlignment="1" applyProtection="1">
      <alignment vertical="center"/>
      <protection hidden="1"/>
    </xf>
    <xf numFmtId="0" fontId="5"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1" xfId="0" applyFont="1" applyBorder="1" applyAlignment="1" applyProtection="1">
      <alignment vertical="center"/>
      <protection locked="0"/>
    </xf>
    <xf numFmtId="0" fontId="1" fillId="0" borderId="0" xfId="0" applyFont="1" applyAlignment="1" applyProtection="1">
      <alignment vertical="center"/>
      <protection hidden="1"/>
    </xf>
    <xf numFmtId="0" fontId="4" fillId="0" borderId="1" xfId="0" applyFont="1" applyBorder="1" applyAlignment="1" applyProtection="1">
      <alignment horizontal="left" vertical="center" indent="1"/>
      <protection hidden="1"/>
    </xf>
    <xf numFmtId="0" fontId="4" fillId="0" borderId="1" xfId="0" applyFont="1" applyBorder="1" applyAlignment="1" applyProtection="1">
      <alignment horizontal="center" vertical="center"/>
      <protection locked="0"/>
    </xf>
    <xf numFmtId="0" fontId="7" fillId="0" borderId="0" xfId="0" applyFont="1" applyAlignment="1" applyProtection="1">
      <alignment vertical="center"/>
      <protection hidden="1"/>
    </xf>
    <xf numFmtId="0" fontId="10" fillId="0" borderId="0" xfId="0" applyFont="1" applyAlignment="1" applyProtection="1">
      <alignment vertical="center"/>
      <protection hidden="1"/>
    </xf>
    <xf numFmtId="0" fontId="3" fillId="0" borderId="0" xfId="0" applyFont="1" applyAlignment="1" applyProtection="1">
      <alignment vertical="center"/>
      <protection hidden="1"/>
    </xf>
    <xf numFmtId="0" fontId="3" fillId="0" borderId="0" xfId="0" applyFont="1" applyProtection="1">
      <protection hidden="1"/>
    </xf>
    <xf numFmtId="0" fontId="5" fillId="0" borderId="0" xfId="0" applyFont="1" applyProtection="1">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left" vertical="center"/>
      <protection locked="0" hidden="1"/>
    </xf>
    <xf numFmtId="0" fontId="8" fillId="0" borderId="0" xfId="0" applyFont="1" applyAlignment="1" applyProtection="1">
      <alignment horizontal="left" vertical="center"/>
      <protection hidden="1"/>
    </xf>
    <xf numFmtId="0" fontId="4" fillId="0" borderId="0" xfId="0" applyFont="1" applyProtection="1">
      <protection hidden="1"/>
    </xf>
    <xf numFmtId="0" fontId="14"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right" indent="1"/>
      <protection hidden="1"/>
    </xf>
    <xf numFmtId="0" fontId="4" fillId="0" borderId="0" xfId="0" applyFont="1" applyAlignment="1" applyProtection="1">
      <alignment horizontal="left" indent="1"/>
      <protection hidden="1"/>
    </xf>
    <xf numFmtId="0" fontId="6"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4" fillId="0" borderId="0" xfId="0" applyFont="1"/>
    <xf numFmtId="0" fontId="4" fillId="0" borderId="1" xfId="0" applyFont="1" applyBorder="1" applyProtection="1">
      <protection hidden="1"/>
    </xf>
    <xf numFmtId="0" fontId="4" fillId="0" borderId="1" xfId="0" applyFont="1" applyBorder="1"/>
    <xf numFmtId="0" fontId="4" fillId="0" borderId="1" xfId="0" applyFont="1" applyBorder="1" applyAlignment="1">
      <alignment horizontal="left" vertical="center"/>
    </xf>
    <xf numFmtId="0" fontId="4" fillId="0" borderId="1" xfId="0" applyFont="1" applyBorder="1" applyAlignment="1" applyProtection="1">
      <alignment vertical="center"/>
      <protection hidden="1"/>
    </xf>
    <xf numFmtId="0" fontId="4" fillId="2" borderId="0" xfId="0" applyFont="1" applyFill="1" applyAlignment="1" applyProtection="1">
      <alignment vertical="center"/>
      <protection hidden="1"/>
    </xf>
    <xf numFmtId="0" fontId="4" fillId="0" borderId="5" xfId="0" applyFont="1" applyBorder="1" applyAlignment="1" applyProtection="1">
      <alignment horizontal="center" vertical="center"/>
      <protection locked="0"/>
    </xf>
    <xf numFmtId="0" fontId="0" fillId="0" borderId="0" xfId="0" applyAlignment="1">
      <alignment vertical="center"/>
    </xf>
    <xf numFmtId="0" fontId="18" fillId="0" borderId="0" xfId="0" applyFont="1" applyAlignment="1">
      <alignment vertical="center"/>
    </xf>
    <xf numFmtId="0" fontId="14" fillId="0" borderId="6" xfId="0" applyFont="1" applyBorder="1" applyAlignment="1" applyProtection="1">
      <alignment vertical="center"/>
      <protection hidden="1"/>
    </xf>
    <xf numFmtId="0" fontId="4" fillId="0" borderId="6" xfId="0" applyFont="1" applyBorder="1" applyAlignment="1" applyProtection="1">
      <alignment vertical="center"/>
      <protection hidden="1"/>
    </xf>
    <xf numFmtId="0" fontId="9" fillId="0" borderId="6" xfId="0" applyFont="1" applyBorder="1" applyAlignment="1" applyProtection="1">
      <alignment horizontal="right" vertical="center"/>
      <protection hidden="1"/>
    </xf>
    <xf numFmtId="0" fontId="6" fillId="2" borderId="0" xfId="0" applyFont="1" applyFill="1" applyAlignment="1" applyProtection="1">
      <alignment vertical="center"/>
      <protection hidden="1"/>
    </xf>
    <xf numFmtId="0" fontId="14" fillId="0" borderId="0" xfId="0" applyFont="1" applyAlignment="1" applyProtection="1">
      <alignment vertical="center"/>
      <protection hidden="1"/>
    </xf>
    <xf numFmtId="0" fontId="20" fillId="0" borderId="0" xfId="1" applyFont="1" applyBorder="1" applyAlignment="1" applyProtection="1">
      <alignment horizontal="left" vertical="center"/>
      <protection hidden="1"/>
    </xf>
    <xf numFmtId="0" fontId="20" fillId="0" borderId="6" xfId="1" applyFont="1" applyBorder="1" applyAlignment="1" applyProtection="1">
      <alignment vertical="center"/>
      <protection hidden="1"/>
    </xf>
    <xf numFmtId="0" fontId="21" fillId="0" borderId="0" xfId="0" applyFont="1" applyAlignment="1" applyProtection="1">
      <alignment vertical="center"/>
      <protection hidden="1"/>
    </xf>
    <xf numFmtId="0" fontId="12" fillId="5" borderId="0" xfId="0" applyFont="1" applyFill="1" applyAlignment="1" applyProtection="1">
      <alignment horizontal="center" vertical="center"/>
      <protection hidden="1"/>
    </xf>
    <xf numFmtId="0" fontId="12" fillId="5" borderId="0" xfId="0" applyFont="1" applyFill="1" applyAlignment="1" applyProtection="1">
      <alignment horizontal="left" vertical="center"/>
      <protection locked="0" hidden="1"/>
    </xf>
    <xf numFmtId="0" fontId="12" fillId="6" borderId="0" xfId="0" applyFont="1" applyFill="1" applyAlignment="1" applyProtection="1">
      <alignment horizontal="center" vertical="center"/>
      <protection hidden="1"/>
    </xf>
    <xf numFmtId="0" fontId="12" fillId="6" borderId="0" xfId="0" applyFont="1" applyFill="1" applyAlignment="1" applyProtection="1">
      <alignment horizontal="left" vertical="center"/>
      <protection locked="0" hidden="1"/>
    </xf>
    <xf numFmtId="0" fontId="12" fillId="7" borderId="0" xfId="0" applyFont="1" applyFill="1" applyAlignment="1" applyProtection="1">
      <alignment horizontal="center" vertical="center"/>
      <protection hidden="1"/>
    </xf>
    <xf numFmtId="0" fontId="12" fillId="7" borderId="0" xfId="0" applyFont="1" applyFill="1" applyAlignment="1" applyProtection="1">
      <alignment horizontal="left" vertical="center"/>
      <protection locked="0" hidden="1"/>
    </xf>
    <xf numFmtId="0" fontId="12" fillId="8" borderId="0" xfId="0" applyFont="1" applyFill="1" applyAlignment="1" applyProtection="1">
      <alignment horizontal="center" vertical="center"/>
      <protection hidden="1"/>
    </xf>
    <xf numFmtId="0" fontId="12" fillId="8" borderId="0" xfId="0" applyFont="1" applyFill="1" applyAlignment="1" applyProtection="1">
      <alignment horizontal="left" vertical="center"/>
      <protection locked="0" hidden="1"/>
    </xf>
    <xf numFmtId="0" fontId="12" fillId="9" borderId="0" xfId="0" applyFont="1" applyFill="1" applyAlignment="1" applyProtection="1">
      <alignment horizontal="center" vertical="center"/>
      <protection hidden="1"/>
    </xf>
    <xf numFmtId="0" fontId="12" fillId="9" borderId="0" xfId="0" applyFont="1" applyFill="1" applyAlignment="1" applyProtection="1">
      <alignment horizontal="left" vertical="center"/>
      <protection locked="0" hidden="1"/>
    </xf>
    <xf numFmtId="0" fontId="12" fillId="10" borderId="0" xfId="0" applyFont="1" applyFill="1" applyAlignment="1" applyProtection="1">
      <alignment horizontal="center" vertical="center"/>
      <protection hidden="1"/>
    </xf>
    <xf numFmtId="0" fontId="12" fillId="10" borderId="0" xfId="0" applyFont="1" applyFill="1" applyAlignment="1" applyProtection="1">
      <alignment horizontal="left" vertical="center"/>
      <protection locked="0" hidden="1"/>
    </xf>
    <xf numFmtId="0" fontId="12" fillId="11" borderId="0" xfId="0" applyFont="1" applyFill="1" applyAlignment="1" applyProtection="1">
      <alignment horizontal="center" vertical="center"/>
      <protection hidden="1"/>
    </xf>
    <xf numFmtId="0" fontId="12" fillId="11" borderId="0" xfId="0" applyFont="1" applyFill="1" applyAlignment="1" applyProtection="1">
      <alignment horizontal="left" vertical="center"/>
      <protection locked="0" hidden="1"/>
    </xf>
    <xf numFmtId="0" fontId="0" fillId="2" borderId="0" xfId="0" applyFill="1"/>
    <xf numFmtId="0" fontId="3" fillId="12" borderId="0" xfId="0" applyFont="1" applyFill="1"/>
    <xf numFmtId="0" fontId="1" fillId="12" borderId="0" xfId="2" applyFont="1" applyFill="1" applyAlignment="1">
      <alignment vertical="center"/>
    </xf>
    <xf numFmtId="0" fontId="23" fillId="12" borderId="0" xfId="0" applyFont="1" applyFill="1"/>
    <xf numFmtId="0" fontId="1" fillId="12" borderId="0" xfId="0" applyFont="1" applyFill="1" applyAlignment="1">
      <alignment vertical="center"/>
    </xf>
    <xf numFmtId="0" fontId="1" fillId="12" borderId="0" xfId="0" applyFont="1" applyFill="1"/>
    <xf numFmtId="0" fontId="0" fillId="12" borderId="0" xfId="0" applyFill="1"/>
    <xf numFmtId="0" fontId="3" fillId="12" borderId="0" xfId="0" quotePrefix="1" applyFont="1" applyFill="1" applyAlignment="1">
      <alignment horizontal="left"/>
    </xf>
    <xf numFmtId="0" fontId="24" fillId="12" borderId="0" xfId="0" applyFont="1" applyFill="1"/>
    <xf numFmtId="0" fontId="24" fillId="12" borderId="0" xfId="1" applyFont="1" applyFill="1" applyBorder="1" applyAlignment="1" applyProtection="1"/>
    <xf numFmtId="0" fontId="25" fillId="12" borderId="0" xfId="0" applyFont="1" applyFill="1" applyAlignment="1">
      <alignment horizontal="left"/>
    </xf>
    <xf numFmtId="0" fontId="8" fillId="0" borderId="0" xfId="0" applyFont="1"/>
    <xf numFmtId="0" fontId="8" fillId="0" borderId="7" xfId="0" applyFont="1" applyBorder="1"/>
    <xf numFmtId="0" fontId="8" fillId="0" borderId="8" xfId="0" applyFont="1" applyBorder="1"/>
    <xf numFmtId="0" fontId="8" fillId="0" borderId="9" xfId="0" applyFont="1" applyBorder="1"/>
    <xf numFmtId="0" fontId="8" fillId="0" borderId="10" xfId="0" applyFont="1" applyBorder="1"/>
    <xf numFmtId="0" fontId="8" fillId="0" borderId="11" xfId="0" applyFont="1" applyBorder="1"/>
    <xf numFmtId="0" fontId="30" fillId="0" borderId="0" xfId="0" applyFont="1" applyAlignment="1" applyProtection="1">
      <alignment vertical="center" wrapText="1"/>
      <protection hidden="1"/>
    </xf>
    <xf numFmtId="166" fontId="8" fillId="0" borderId="0" xfId="0" applyNumberFormat="1" applyFont="1" applyAlignment="1" applyProtection="1">
      <alignment horizontal="right" vertical="center"/>
      <protection hidden="1"/>
    </xf>
    <xf numFmtId="164" fontId="8" fillId="0" borderId="0" xfId="0" applyNumberFormat="1" applyFont="1" applyAlignment="1" applyProtection="1">
      <alignment horizontal="center" vertical="center"/>
      <protection hidden="1"/>
    </xf>
    <xf numFmtId="0" fontId="8" fillId="0" borderId="0" xfId="0" applyFont="1" applyAlignment="1" applyProtection="1">
      <alignment horizontal="right" vertical="center"/>
      <protection hidden="1"/>
    </xf>
    <xf numFmtId="0" fontId="8" fillId="0" borderId="2" xfId="0" applyFont="1" applyBorder="1" applyAlignment="1" applyProtection="1">
      <alignment vertical="center"/>
      <protection locked="0"/>
    </xf>
    <xf numFmtId="0" fontId="8" fillId="4" borderId="0" xfId="0" applyFont="1" applyFill="1" applyAlignment="1" applyProtection="1">
      <alignment horizontal="center" vertical="center"/>
      <protection hidden="1"/>
    </xf>
    <xf numFmtId="166" fontId="8" fillId="4" borderId="0" xfId="0" applyNumberFormat="1" applyFont="1" applyFill="1" applyAlignment="1" applyProtection="1">
      <alignment horizontal="right" vertical="center"/>
      <protection hidden="1"/>
    </xf>
    <xf numFmtId="164" fontId="8" fillId="4" borderId="0" xfId="0" applyNumberFormat="1" applyFont="1" applyFill="1" applyAlignment="1" applyProtection="1">
      <alignment horizontal="center" vertical="center"/>
      <protection hidden="1"/>
    </xf>
    <xf numFmtId="0" fontId="8" fillId="4" borderId="0" xfId="0" applyFont="1" applyFill="1" applyAlignment="1" applyProtection="1">
      <alignment horizontal="right" vertical="center"/>
      <protection hidden="1"/>
    </xf>
    <xf numFmtId="0" fontId="8" fillId="4" borderId="0" xfId="0" applyFont="1" applyFill="1" applyAlignment="1" applyProtection="1">
      <alignment vertical="center"/>
      <protection hidden="1"/>
    </xf>
    <xf numFmtId="0" fontId="8" fillId="4" borderId="2" xfId="0" applyFont="1" applyFill="1" applyBorder="1" applyAlignment="1" applyProtection="1">
      <alignment vertical="center"/>
      <protection locked="0"/>
    </xf>
    <xf numFmtId="0" fontId="8" fillId="3" borderId="25" xfId="0" applyFont="1" applyFill="1" applyBorder="1" applyAlignment="1" applyProtection="1">
      <alignment horizontal="center" vertical="center"/>
      <protection locked="0"/>
    </xf>
    <xf numFmtId="0" fontId="8" fillId="3" borderId="26" xfId="0" applyFont="1" applyFill="1" applyBorder="1" applyAlignment="1" applyProtection="1">
      <alignment horizontal="center" vertical="center"/>
      <protection locked="0"/>
    </xf>
    <xf numFmtId="0" fontId="8" fillId="0" borderId="0" xfId="0" applyFont="1" applyAlignment="1" applyProtection="1">
      <alignment horizontal="right" indent="1"/>
      <protection hidden="1"/>
    </xf>
    <xf numFmtId="0" fontId="8" fillId="0" borderId="0" xfId="0" applyFont="1" applyProtection="1">
      <protection hidden="1"/>
    </xf>
    <xf numFmtId="0" fontId="8" fillId="0" borderId="0" xfId="0" applyFont="1" applyAlignment="1" applyProtection="1">
      <alignment horizontal="left" indent="1"/>
      <protection hidden="1"/>
    </xf>
    <xf numFmtId="0" fontId="8" fillId="0" borderId="0" xfId="0" applyFont="1" applyAlignment="1" applyProtection="1">
      <alignment horizontal="left"/>
      <protection hidden="1"/>
    </xf>
    <xf numFmtId="0" fontId="8" fillId="5" borderId="18" xfId="0" applyFont="1" applyFill="1" applyBorder="1" applyAlignment="1" applyProtection="1">
      <alignment horizontal="left" vertical="center"/>
      <protection hidden="1"/>
    </xf>
    <xf numFmtId="0" fontId="8" fillId="3" borderId="19" xfId="0" applyFont="1" applyFill="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6" borderId="0" xfId="0" applyFont="1" applyFill="1" applyAlignment="1" applyProtection="1">
      <alignment horizontal="left" vertical="center"/>
      <protection hidden="1"/>
    </xf>
    <xf numFmtId="0" fontId="8" fillId="3" borderId="20"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right"/>
      <protection hidden="1"/>
    </xf>
    <xf numFmtId="0" fontId="8" fillId="0" borderId="18" xfId="0" applyFont="1" applyBorder="1" applyAlignment="1" applyProtection="1">
      <alignment horizontal="left" vertical="center"/>
      <protection hidden="1"/>
    </xf>
    <xf numFmtId="0" fontId="31" fillId="0" borderId="0" xfId="0" applyFont="1" applyProtection="1">
      <protection hidden="1"/>
    </xf>
    <xf numFmtId="0" fontId="8" fillId="7" borderId="18" xfId="0" applyFont="1" applyFill="1" applyBorder="1" applyAlignment="1" applyProtection="1">
      <alignment horizontal="left" vertical="center"/>
      <protection hidden="1"/>
    </xf>
    <xf numFmtId="0" fontId="8" fillId="8" borderId="0" xfId="0" applyFont="1" applyFill="1" applyAlignment="1" applyProtection="1">
      <alignment horizontal="left" vertical="center"/>
      <protection hidden="1"/>
    </xf>
    <xf numFmtId="0" fontId="8" fillId="9" borderId="18" xfId="0" applyFont="1" applyFill="1" applyBorder="1" applyAlignment="1" applyProtection="1">
      <alignment horizontal="left" vertical="center"/>
      <protection hidden="1"/>
    </xf>
    <xf numFmtId="0" fontId="8" fillId="11" borderId="0" xfId="0" applyFont="1" applyFill="1" applyAlignment="1" applyProtection="1">
      <alignment horizontal="left" vertical="center"/>
      <protection hidden="1"/>
    </xf>
    <xf numFmtId="0" fontId="8" fillId="0" borderId="24" xfId="0" applyFont="1" applyBorder="1" applyProtection="1">
      <protection hidden="1"/>
    </xf>
    <xf numFmtId="0" fontId="8" fillId="10" borderId="18" xfId="0" applyFont="1" applyFill="1" applyBorder="1" applyAlignment="1" applyProtection="1">
      <alignment horizontal="left" vertical="center"/>
      <protection hidden="1"/>
    </xf>
    <xf numFmtId="0" fontId="8" fillId="13" borderId="0" xfId="0" applyFont="1" applyFill="1" applyAlignment="1" applyProtection="1">
      <alignment horizontal="left" vertical="center"/>
      <protection hidden="1"/>
    </xf>
    <xf numFmtId="0" fontId="8" fillId="8" borderId="18" xfId="0" applyFont="1" applyFill="1" applyBorder="1" applyAlignment="1" applyProtection="1">
      <alignment horizontal="left" vertical="center"/>
      <protection hidden="1"/>
    </xf>
    <xf numFmtId="0" fontId="8" fillId="7" borderId="0" xfId="0" applyFont="1" applyFill="1" applyAlignment="1" applyProtection="1">
      <alignment horizontal="left" vertical="center"/>
      <protection hidden="1"/>
    </xf>
    <xf numFmtId="0" fontId="8" fillId="0" borderId="0" xfId="0" applyFont="1" applyAlignment="1" applyProtection="1">
      <alignment horizontal="center"/>
      <protection hidden="1"/>
    </xf>
    <xf numFmtId="0" fontId="8" fillId="6" borderId="18" xfId="0" applyFont="1" applyFill="1" applyBorder="1" applyAlignment="1" applyProtection="1">
      <alignment horizontal="left" vertical="center"/>
      <protection hidden="1"/>
    </xf>
    <xf numFmtId="0" fontId="8" fillId="5" borderId="0" xfId="0" applyFont="1" applyFill="1" applyAlignment="1" applyProtection="1">
      <alignment horizontal="left" vertical="center"/>
      <protection hidden="1"/>
    </xf>
    <xf numFmtId="0" fontId="8" fillId="11" borderId="18" xfId="0" applyFont="1" applyFill="1" applyBorder="1" applyAlignment="1" applyProtection="1">
      <alignment horizontal="left" vertical="center"/>
      <protection hidden="1"/>
    </xf>
    <xf numFmtId="0" fontId="8" fillId="9" borderId="0" xfId="0" applyFont="1" applyFill="1" applyAlignment="1" applyProtection="1">
      <alignment horizontal="left" vertical="center"/>
      <protection hidden="1"/>
    </xf>
    <xf numFmtId="0" fontId="8" fillId="0" borderId="0" xfId="0" applyFont="1" applyAlignment="1" applyProtection="1">
      <alignment horizontal="left"/>
      <protection locked="0"/>
    </xf>
    <xf numFmtId="0" fontId="8" fillId="13" borderId="18" xfId="0" applyFont="1" applyFill="1" applyBorder="1" applyAlignment="1" applyProtection="1">
      <alignment horizontal="left" vertical="center"/>
      <protection hidden="1"/>
    </xf>
    <xf numFmtId="0" fontId="8" fillId="10" borderId="0" xfId="0" applyFont="1" applyFill="1" applyAlignment="1" applyProtection="1">
      <alignment horizontal="left" vertical="center"/>
      <protection hidden="1"/>
    </xf>
    <xf numFmtId="0" fontId="4" fillId="0" borderId="0" xfId="0" applyFont="1" applyAlignment="1" applyProtection="1">
      <alignment vertical="center"/>
      <protection locked="0"/>
    </xf>
    <xf numFmtId="0" fontId="4" fillId="14" borderId="0" xfId="0" applyFont="1" applyFill="1" applyProtection="1">
      <protection hidden="1"/>
    </xf>
    <xf numFmtId="0" fontId="4" fillId="14" borderId="0" xfId="0" applyFont="1" applyFill="1" applyAlignment="1" applyProtection="1">
      <alignment horizontal="left" indent="1"/>
      <protection hidden="1"/>
    </xf>
    <xf numFmtId="0" fontId="4" fillId="14" borderId="0" xfId="0" applyFont="1" applyFill="1" applyAlignment="1" applyProtection="1">
      <alignment wrapText="1"/>
      <protection hidden="1"/>
    </xf>
    <xf numFmtId="0" fontId="4" fillId="14" borderId="0" xfId="0" applyFont="1" applyFill="1" applyAlignment="1" applyProtection="1">
      <alignment horizontal="right" indent="1"/>
      <protection hidden="1"/>
    </xf>
    <xf numFmtId="0" fontId="5" fillId="14" borderId="0" xfId="0" applyFont="1" applyFill="1" applyProtection="1">
      <protection hidden="1"/>
    </xf>
    <xf numFmtId="0" fontId="6" fillId="14" borderId="0" xfId="0" applyFont="1" applyFill="1" applyProtection="1">
      <protection hidden="1"/>
    </xf>
    <xf numFmtId="0" fontId="6" fillId="14" borderId="0" xfId="0" applyFont="1" applyFill="1" applyAlignment="1" applyProtection="1">
      <alignment horizontal="left" indent="1"/>
      <protection hidden="1"/>
    </xf>
    <xf numFmtId="0" fontId="3" fillId="14" borderId="0" xfId="0" applyFont="1" applyFill="1" applyAlignment="1" applyProtection="1">
      <alignment horizontal="center"/>
      <protection hidden="1"/>
    </xf>
    <xf numFmtId="0" fontId="2" fillId="14" borderId="0" xfId="0" applyFont="1" applyFill="1" applyProtection="1">
      <protection hidden="1"/>
    </xf>
    <xf numFmtId="0" fontId="1" fillId="15" borderId="1" xfId="0" applyFont="1" applyFill="1" applyBorder="1" applyAlignment="1" applyProtection="1">
      <alignment horizontal="left" vertical="center" indent="1"/>
      <protection hidden="1"/>
    </xf>
    <xf numFmtId="0" fontId="1" fillId="15" borderId="1" xfId="0" applyFont="1" applyFill="1" applyBorder="1" applyAlignment="1" applyProtection="1">
      <alignment vertical="center"/>
      <protection hidden="1"/>
    </xf>
    <xf numFmtId="0" fontId="1" fillId="15" borderId="1"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32" fillId="14" borderId="0" xfId="0" applyFont="1" applyFill="1" applyAlignment="1" applyProtection="1">
      <alignment horizontal="center"/>
      <protection hidden="1"/>
    </xf>
    <xf numFmtId="0" fontId="32" fillId="0" borderId="0" xfId="0" applyFont="1" applyAlignment="1" applyProtection="1">
      <alignment vertical="center"/>
      <protection hidden="1"/>
    </xf>
    <xf numFmtId="0" fontId="32" fillId="0" borderId="0" xfId="0" applyFont="1" applyAlignment="1" applyProtection="1">
      <alignment horizontal="center" vertical="center"/>
      <protection hidden="1"/>
    </xf>
    <xf numFmtId="0" fontId="32" fillId="0" borderId="0" xfId="0" applyFont="1" applyAlignment="1" applyProtection="1">
      <alignment horizontal="center" vertical="center" wrapText="1"/>
      <protection hidden="1"/>
    </xf>
    <xf numFmtId="0" fontId="33" fillId="0" borderId="0" xfId="0" applyFont="1" applyAlignment="1" applyProtection="1">
      <alignment horizontal="center" vertical="center"/>
      <protection hidden="1"/>
    </xf>
    <xf numFmtId="0" fontId="4" fillId="16" borderId="3" xfId="0" applyFont="1" applyFill="1" applyBorder="1" applyAlignment="1" applyProtection="1">
      <alignment vertical="center"/>
      <protection hidden="1"/>
    </xf>
    <xf numFmtId="0" fontId="1" fillId="16" borderId="0" xfId="0" applyFont="1" applyFill="1" applyAlignment="1" applyProtection="1">
      <alignment horizontal="left" vertical="center" indent="1"/>
      <protection hidden="1"/>
    </xf>
    <xf numFmtId="0" fontId="1" fillId="16" borderId="1" xfId="0" applyFont="1" applyFill="1" applyBorder="1" applyAlignment="1" applyProtection="1">
      <alignment horizontal="left" vertical="center" indent="1"/>
      <protection hidden="1"/>
    </xf>
    <xf numFmtId="0" fontId="11" fillId="16" borderId="0" xfId="0" applyFont="1" applyFill="1" applyAlignment="1" applyProtection="1">
      <alignment horizontal="center" vertical="center"/>
      <protection hidden="1"/>
    </xf>
    <xf numFmtId="0" fontId="12" fillId="3" borderId="0" xfId="0" applyFont="1" applyFill="1" applyAlignment="1" applyProtection="1">
      <alignment horizontal="center" vertical="center"/>
      <protection hidden="1"/>
    </xf>
    <xf numFmtId="0" fontId="12" fillId="3" borderId="0" xfId="0" applyFont="1" applyFill="1" applyAlignment="1" applyProtection="1">
      <alignment horizontal="left" vertical="center"/>
      <protection locked="0" hidden="1"/>
    </xf>
    <xf numFmtId="0" fontId="11" fillId="16" borderId="0" xfId="0" applyFont="1" applyFill="1" applyAlignment="1" applyProtection="1">
      <alignment horizontal="left" vertical="center" indent="1"/>
      <protection hidden="1"/>
    </xf>
    <xf numFmtId="0" fontId="6" fillId="14" borderId="0" xfId="0" applyFont="1" applyFill="1" applyAlignment="1" applyProtection="1">
      <alignment vertical="center"/>
      <protection hidden="1"/>
    </xf>
    <xf numFmtId="0" fontId="4" fillId="14" borderId="0" xfId="0" applyFont="1" applyFill="1" applyAlignment="1" applyProtection="1">
      <alignment horizontal="center"/>
      <protection hidden="1"/>
    </xf>
    <xf numFmtId="0" fontId="11" fillId="16" borderId="0" xfId="0" applyFont="1" applyFill="1" applyAlignment="1" applyProtection="1">
      <alignment vertical="center"/>
      <protection hidden="1"/>
    </xf>
    <xf numFmtId="0" fontId="12" fillId="17" borderId="28" xfId="0" applyFont="1" applyFill="1" applyBorder="1" applyAlignment="1" applyProtection="1">
      <alignment horizontal="left" vertical="center"/>
      <protection hidden="1"/>
    </xf>
    <xf numFmtId="0" fontId="8" fillId="17" borderId="28" xfId="0" applyFont="1" applyFill="1" applyBorder="1" applyAlignment="1" applyProtection="1">
      <alignment horizontal="right" vertical="center"/>
      <protection hidden="1"/>
    </xf>
    <xf numFmtId="0" fontId="8" fillId="17" borderId="28" xfId="0" applyFont="1" applyFill="1" applyBorder="1" applyAlignment="1" applyProtection="1">
      <alignment horizontal="left" vertical="center"/>
      <protection hidden="1"/>
    </xf>
    <xf numFmtId="0" fontId="8" fillId="17" borderId="28" xfId="0" applyFont="1" applyFill="1" applyBorder="1" applyAlignment="1" applyProtection="1">
      <alignment vertical="center"/>
      <protection hidden="1"/>
    </xf>
    <xf numFmtId="0" fontId="4" fillId="17" borderId="28" xfId="0" applyFont="1" applyFill="1" applyBorder="1" applyAlignment="1" applyProtection="1">
      <alignment horizontal="center" vertical="center"/>
      <protection hidden="1"/>
    </xf>
    <xf numFmtId="0" fontId="14" fillId="17" borderId="28" xfId="0" applyFont="1" applyFill="1" applyBorder="1" applyAlignment="1" applyProtection="1">
      <alignment horizontal="left" vertical="center"/>
      <protection hidden="1"/>
    </xf>
    <xf numFmtId="166" fontId="4" fillId="17" borderId="28" xfId="0" applyNumberFormat="1" applyFont="1" applyFill="1" applyBorder="1" applyAlignment="1" applyProtection="1">
      <alignment horizontal="right" vertical="center"/>
      <protection hidden="1"/>
    </xf>
    <xf numFmtId="164" fontId="4" fillId="17" borderId="28" xfId="0" applyNumberFormat="1" applyFont="1" applyFill="1" applyBorder="1" applyAlignment="1" applyProtection="1">
      <alignment horizontal="center" vertical="center"/>
      <protection hidden="1"/>
    </xf>
    <xf numFmtId="0" fontId="4" fillId="17" borderId="28" xfId="0" applyFont="1" applyFill="1" applyBorder="1" applyAlignment="1" applyProtection="1">
      <alignment horizontal="right" vertical="center"/>
      <protection hidden="1"/>
    </xf>
    <xf numFmtId="0" fontId="4" fillId="17" borderId="28" xfId="0" applyFont="1" applyFill="1" applyBorder="1" applyAlignment="1" applyProtection="1">
      <alignment horizontal="center" vertical="center"/>
      <protection locked="0"/>
    </xf>
    <xf numFmtId="0" fontId="4" fillId="17" borderId="28" xfId="0" applyFont="1" applyFill="1" applyBorder="1" applyAlignment="1" applyProtection="1">
      <alignment horizontal="left" vertical="center"/>
      <protection hidden="1"/>
    </xf>
    <xf numFmtId="0" fontId="4" fillId="17" borderId="28" xfId="0" applyFont="1" applyFill="1" applyBorder="1" applyAlignment="1" applyProtection="1">
      <alignment vertical="center"/>
      <protection hidden="1"/>
    </xf>
    <xf numFmtId="0" fontId="4" fillId="17" borderId="28" xfId="0" applyFont="1" applyFill="1" applyBorder="1" applyAlignment="1" applyProtection="1">
      <alignment horizontal="left" vertical="center"/>
      <protection locked="0"/>
    </xf>
    <xf numFmtId="0" fontId="4" fillId="17" borderId="27" xfId="0" applyFont="1" applyFill="1" applyBorder="1" applyAlignment="1" applyProtection="1">
      <alignment horizontal="left" vertical="center"/>
      <protection locked="0"/>
    </xf>
    <xf numFmtId="0" fontId="8" fillId="11" borderId="0" xfId="0" applyFont="1" applyFill="1" applyProtection="1">
      <protection hidden="1"/>
    </xf>
    <xf numFmtId="0" fontId="8" fillId="11" borderId="0" xfId="0" applyFont="1" applyFill="1" applyAlignment="1" applyProtection="1">
      <alignment horizontal="left" indent="1"/>
      <protection hidden="1"/>
    </xf>
    <xf numFmtId="0" fontId="8" fillId="11" borderId="0" xfId="0" applyFont="1" applyFill="1" applyAlignment="1" applyProtection="1">
      <alignment horizontal="center" vertical="center"/>
      <protection hidden="1"/>
    </xf>
    <xf numFmtId="0" fontId="8" fillId="3" borderId="30" xfId="0" applyFont="1" applyFill="1" applyBorder="1" applyAlignment="1" applyProtection="1">
      <alignment horizontal="center" vertical="center"/>
      <protection locked="0"/>
    </xf>
    <xf numFmtId="0" fontId="8" fillId="3" borderId="31" xfId="0" applyFont="1" applyFill="1" applyBorder="1" applyAlignment="1" applyProtection="1">
      <alignment horizontal="center" vertical="center"/>
      <protection locked="0"/>
    </xf>
    <xf numFmtId="0" fontId="11" fillId="15" borderId="32" xfId="0" applyFont="1" applyFill="1" applyBorder="1" applyAlignment="1" applyProtection="1">
      <alignment horizontal="left" vertical="center"/>
      <protection hidden="1"/>
    </xf>
    <xf numFmtId="0" fontId="11" fillId="15" borderId="32" xfId="0" applyFont="1" applyFill="1" applyBorder="1" applyAlignment="1" applyProtection="1">
      <alignment horizontal="center" vertical="center"/>
      <protection hidden="1"/>
    </xf>
    <xf numFmtId="0" fontId="11" fillId="15" borderId="32" xfId="0" applyFont="1" applyFill="1" applyBorder="1" applyAlignment="1" applyProtection="1">
      <alignment horizontal="right" vertical="center" indent="1"/>
      <protection hidden="1"/>
    </xf>
    <xf numFmtId="0" fontId="11" fillId="15" borderId="32" xfId="0" applyFont="1" applyFill="1" applyBorder="1" applyAlignment="1" applyProtection="1">
      <alignment horizontal="left" vertical="center" indent="1"/>
      <protection hidden="1"/>
    </xf>
    <xf numFmtId="0" fontId="11" fillId="15" borderId="29" xfId="0" applyFont="1" applyFill="1" applyBorder="1" applyAlignment="1" applyProtection="1">
      <alignment horizontal="left" vertical="center"/>
      <protection hidden="1"/>
    </xf>
    <xf numFmtId="0" fontId="10" fillId="16" borderId="33" xfId="0" applyFont="1" applyFill="1" applyBorder="1" applyAlignment="1" applyProtection="1">
      <alignment horizontal="center" vertical="center"/>
      <protection hidden="1"/>
    </xf>
    <xf numFmtId="0" fontId="10" fillId="16" borderId="34" xfId="0" applyFont="1" applyFill="1" applyBorder="1" applyAlignment="1" applyProtection="1">
      <alignment horizontal="center" vertical="center"/>
      <protection hidden="1"/>
    </xf>
    <xf numFmtId="166" fontId="10" fillId="16" borderId="34" xfId="0" applyNumberFormat="1" applyFont="1" applyFill="1" applyBorder="1" applyAlignment="1" applyProtection="1">
      <alignment horizontal="left" vertical="center"/>
      <protection hidden="1"/>
    </xf>
    <xf numFmtId="0" fontId="10" fillId="16" borderId="34" xfId="0" applyFont="1" applyFill="1" applyBorder="1" applyAlignment="1" applyProtection="1">
      <alignment horizontal="right" indent="1"/>
      <protection hidden="1"/>
    </xf>
    <xf numFmtId="0" fontId="10" fillId="16" borderId="34" xfId="0" applyFont="1" applyFill="1" applyBorder="1" applyProtection="1">
      <protection hidden="1"/>
    </xf>
    <xf numFmtId="0" fontId="8" fillId="16" borderId="34" xfId="0" applyFont="1" applyFill="1" applyBorder="1" applyAlignment="1" applyProtection="1">
      <alignment vertical="center"/>
      <protection hidden="1"/>
    </xf>
    <xf numFmtId="0" fontId="12" fillId="0" borderId="0" xfId="0" applyFont="1" applyAlignment="1" applyProtection="1">
      <alignment horizontal="right" vertical="center" wrapText="1"/>
      <protection hidden="1"/>
    </xf>
    <xf numFmtId="0" fontId="4" fillId="4" borderId="1" xfId="0" applyFont="1" applyFill="1" applyBorder="1" applyAlignment="1" applyProtection="1">
      <alignment horizontal="center" vertical="center"/>
      <protection hidden="1"/>
    </xf>
    <xf numFmtId="0" fontId="4" fillId="4" borderId="1" xfId="0" applyFont="1" applyFill="1" applyBorder="1" applyAlignment="1" applyProtection="1">
      <alignment vertical="center"/>
      <protection locked="0"/>
    </xf>
    <xf numFmtId="0" fontId="4" fillId="3" borderId="0" xfId="0" applyFont="1" applyFill="1"/>
    <xf numFmtId="0" fontId="14" fillId="3" borderId="0" xfId="2" applyFont="1" applyFill="1" applyAlignment="1">
      <alignment vertical="center"/>
    </xf>
    <xf numFmtId="0" fontId="8" fillId="10" borderId="10" xfId="0" applyFont="1" applyFill="1" applyBorder="1"/>
    <xf numFmtId="0" fontId="8" fillId="10" borderId="11" xfId="0" applyFont="1" applyFill="1" applyBorder="1"/>
    <xf numFmtId="0" fontId="8" fillId="10" borderId="12" xfId="0" applyFont="1" applyFill="1" applyBorder="1"/>
    <xf numFmtId="0" fontId="8" fillId="10" borderId="14" xfId="0" applyFont="1" applyFill="1" applyBorder="1"/>
    <xf numFmtId="0" fontId="10" fillId="0" borderId="0" xfId="0" applyFont="1" applyAlignment="1" applyProtection="1">
      <alignment horizontal="center" vertical="center"/>
      <protection hidden="1"/>
    </xf>
    <xf numFmtId="0" fontId="35" fillId="0" borderId="0" xfId="0" applyFont="1"/>
    <xf numFmtId="0" fontId="3" fillId="0" borderId="0" xfId="0" applyFont="1" applyAlignment="1" applyProtection="1">
      <alignment horizontal="center"/>
      <protection hidden="1"/>
    </xf>
    <xf numFmtId="0" fontId="3" fillId="0" borderId="0" xfId="0" applyFont="1" applyAlignment="1" applyProtection="1">
      <alignment horizontal="left"/>
      <protection hidden="1"/>
    </xf>
    <xf numFmtId="0" fontId="3" fillId="0" borderId="0" xfId="0" applyFont="1"/>
    <xf numFmtId="14" fontId="3" fillId="0" borderId="0" xfId="0" applyNumberFormat="1" applyFont="1" applyAlignment="1" applyProtection="1">
      <alignment horizontal="center"/>
      <protection hidden="1"/>
    </xf>
    <xf numFmtId="0" fontId="3" fillId="0" borderId="0" xfId="0" applyFont="1" applyAlignment="1" applyProtection="1">
      <alignment horizontal="right"/>
      <protection hidden="1"/>
    </xf>
    <xf numFmtId="0" fontId="3" fillId="0" borderId="0" xfId="0" applyFont="1" applyAlignment="1">
      <alignment horizontal="center" vertical="center" textRotation="255"/>
    </xf>
    <xf numFmtId="0" fontId="3" fillId="0" borderId="0" xfId="0" applyFont="1" applyAlignment="1">
      <alignment horizontal="left" vertical="center" indent="1"/>
    </xf>
    <xf numFmtId="0" fontId="3" fillId="0" borderId="0" xfId="0" applyFont="1" applyAlignment="1" applyProtection="1">
      <alignment horizontal="left" vertical="center" indent="1"/>
      <protection hidden="1"/>
    </xf>
    <xf numFmtId="0" fontId="3" fillId="0" borderId="0" xfId="0" applyFont="1" applyAlignment="1">
      <alignment horizontal="center"/>
    </xf>
    <xf numFmtId="16" fontId="3" fillId="0" borderId="0" xfId="0" applyNumberFormat="1" applyFont="1" applyAlignment="1" applyProtection="1">
      <alignment vertical="center"/>
      <protection hidden="1"/>
    </xf>
    <xf numFmtId="165" fontId="3" fillId="0" borderId="0" xfId="0" applyNumberFormat="1" applyFont="1" applyAlignment="1" applyProtection="1">
      <alignment horizontal="right" vertical="center"/>
      <protection hidden="1"/>
    </xf>
    <xf numFmtId="165" fontId="3" fillId="0" borderId="0" xfId="0" applyNumberFormat="1" applyFont="1" applyProtection="1">
      <protection hidden="1"/>
    </xf>
    <xf numFmtId="165" fontId="3" fillId="0" borderId="0" xfId="0" applyNumberFormat="1" applyFont="1" applyAlignment="1" applyProtection="1">
      <alignment horizontal="right"/>
      <protection hidden="1"/>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vertical="center" wrapText="1"/>
      <protection locked="0"/>
    </xf>
    <xf numFmtId="0" fontId="3" fillId="0" borderId="0" xfId="0" applyFont="1" applyAlignment="1">
      <alignment vertical="center" textRotation="255"/>
    </xf>
    <xf numFmtId="0" fontId="3" fillId="0" borderId="0" xfId="1" applyFont="1" applyFill="1" applyBorder="1" applyAlignment="1" applyProtection="1">
      <alignment horizontal="center" vertical="center" wrapText="1"/>
      <protection hidden="1"/>
    </xf>
    <xf numFmtId="0" fontId="3" fillId="0" borderId="0" xfId="1" applyFont="1" applyFill="1" applyBorder="1" applyAlignment="1" applyProtection="1">
      <alignment vertical="center"/>
      <protection hidden="1"/>
    </xf>
    <xf numFmtId="0" fontId="4" fillId="16" borderId="0" xfId="0" applyFont="1" applyFill="1" applyProtection="1">
      <protection hidden="1"/>
    </xf>
    <xf numFmtId="0" fontId="4" fillId="16" borderId="0" xfId="0" applyFont="1" applyFill="1" applyAlignment="1" applyProtection="1">
      <alignment wrapText="1"/>
      <protection hidden="1"/>
    </xf>
    <xf numFmtId="0" fontId="4" fillId="16" borderId="0" xfId="0" applyFont="1" applyFill="1" applyAlignment="1" applyProtection="1">
      <alignment horizontal="center"/>
      <protection hidden="1"/>
    </xf>
    <xf numFmtId="0" fontId="4" fillId="16" borderId="0" xfId="0" applyFont="1" applyFill="1" applyAlignment="1" applyProtection="1">
      <alignment horizontal="right" indent="1"/>
      <protection hidden="1"/>
    </xf>
    <xf numFmtId="0" fontId="5" fillId="16" borderId="0" xfId="0" applyFont="1" applyFill="1" applyProtection="1">
      <protection hidden="1"/>
    </xf>
    <xf numFmtId="0" fontId="6" fillId="16" borderId="0" xfId="0" applyFont="1" applyFill="1" applyProtection="1">
      <protection hidden="1"/>
    </xf>
    <xf numFmtId="0" fontId="4" fillId="0" borderId="1" xfId="0" applyFont="1" applyBorder="1" applyAlignment="1" applyProtection="1">
      <alignment horizontal="left" vertical="center" indent="1"/>
      <protection locked="0"/>
    </xf>
    <xf numFmtId="0" fontId="1" fillId="16" borderId="2" xfId="0" applyFont="1" applyFill="1" applyBorder="1" applyAlignment="1" applyProtection="1">
      <alignment horizontal="center" vertical="center" wrapText="1"/>
      <protection hidden="1"/>
    </xf>
    <xf numFmtId="0" fontId="1" fillId="16" borderId="4" xfId="0" applyFont="1" applyFill="1" applyBorder="1" applyAlignment="1" applyProtection="1">
      <alignment horizontal="center" vertical="center" wrapText="1"/>
      <protection hidden="1"/>
    </xf>
    <xf numFmtId="0" fontId="1" fillId="16" borderId="36" xfId="0" applyFont="1" applyFill="1" applyBorder="1" applyAlignment="1" applyProtection="1">
      <alignment horizontal="center" vertical="center"/>
      <protection hidden="1"/>
    </xf>
    <xf numFmtId="0" fontId="1" fillId="16" borderId="0" xfId="0" applyFont="1" applyFill="1" applyAlignment="1" applyProtection="1">
      <alignment horizontal="center" vertical="center"/>
      <protection hidden="1"/>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8" fillId="11" borderId="0" xfId="0" applyFont="1" applyFill="1" applyAlignment="1" applyProtection="1">
      <alignment horizontal="left"/>
      <protection locked="0"/>
    </xf>
    <xf numFmtId="0" fontId="3" fillId="18" borderId="0" xfId="1" applyFont="1" applyFill="1" applyBorder="1" applyAlignment="1" applyProtection="1">
      <alignment horizontal="center" vertical="center" wrapText="1"/>
      <protection hidden="1"/>
    </xf>
    <xf numFmtId="0" fontId="36" fillId="19" borderId="0" xfId="1" applyFont="1" applyFill="1" applyBorder="1" applyAlignment="1" applyProtection="1">
      <alignment horizontal="center" vertical="center" wrapText="1"/>
      <protection hidden="1"/>
    </xf>
    <xf numFmtId="0" fontId="19" fillId="0" borderId="0" xfId="0" applyFont="1" applyAlignment="1" applyProtection="1">
      <alignment horizontal="left" vertical="center" wrapText="1"/>
      <protection hidden="1"/>
    </xf>
    <xf numFmtId="0" fontId="11" fillId="15" borderId="32" xfId="0" applyFont="1" applyFill="1" applyBorder="1" applyAlignment="1" applyProtection="1">
      <alignment horizontal="center" vertical="center"/>
      <protection hidden="1"/>
    </xf>
    <xf numFmtId="0" fontId="19" fillId="11" borderId="0" xfId="0" applyFont="1" applyFill="1" applyAlignment="1" applyProtection="1">
      <alignment horizontal="left" vertical="center" wrapText="1" indent="2"/>
      <protection hidden="1"/>
    </xf>
    <xf numFmtId="166" fontId="10" fillId="16" borderId="34" xfId="0" applyNumberFormat="1" applyFont="1" applyFill="1" applyBorder="1" applyAlignment="1" applyProtection="1">
      <alignment horizontal="left" vertical="center"/>
      <protection hidden="1"/>
    </xf>
    <xf numFmtId="0" fontId="8" fillId="0" borderId="0" xfId="0" applyFont="1" applyAlignment="1" applyProtection="1">
      <alignment horizontal="left" vertical="center"/>
      <protection hidden="1"/>
    </xf>
    <xf numFmtId="0" fontId="13" fillId="15" borderId="0" xfId="0" applyFont="1" applyFill="1" applyAlignment="1" applyProtection="1">
      <alignment horizontal="center" vertical="center"/>
      <protection hidden="1"/>
    </xf>
    <xf numFmtId="0" fontId="38" fillId="11" borderId="15" xfId="0" applyFont="1" applyFill="1" applyBorder="1" applyAlignment="1" applyProtection="1">
      <alignment horizontal="left" vertical="center" wrapText="1" indent="2"/>
      <protection hidden="1"/>
    </xf>
    <xf numFmtId="0" fontId="38" fillId="11" borderId="0" xfId="0" applyFont="1" applyFill="1" applyAlignment="1" applyProtection="1">
      <alignment horizontal="left" vertical="center" wrapText="1" indent="2"/>
      <protection hidden="1"/>
    </xf>
    <xf numFmtId="0" fontId="8" fillId="0" borderId="18" xfId="0" applyFont="1" applyBorder="1" applyAlignment="1" applyProtection="1">
      <alignment horizontal="left" vertical="center"/>
      <protection hidden="1"/>
    </xf>
    <xf numFmtId="0" fontId="1" fillId="15" borderId="2" xfId="0" applyFont="1" applyFill="1" applyBorder="1" applyAlignment="1" applyProtection="1">
      <alignment horizontal="left" vertical="center"/>
      <protection hidden="1"/>
    </xf>
    <xf numFmtId="0" fontId="13" fillId="16" borderId="15" xfId="0" applyFont="1" applyFill="1" applyBorder="1" applyAlignment="1" applyProtection="1">
      <alignment horizontal="center" vertical="center" wrapText="1"/>
      <protection hidden="1"/>
    </xf>
    <xf numFmtId="0" fontId="13" fillId="16" borderId="35"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0" xfId="0" applyFont="1" applyFill="1" applyAlignment="1" applyProtection="1">
      <alignment horizontal="center" vertical="center" wrapText="1"/>
      <protection hidden="1"/>
    </xf>
    <xf numFmtId="0" fontId="13" fillId="16" borderId="17" xfId="0" applyFont="1" applyFill="1" applyBorder="1" applyAlignment="1" applyProtection="1">
      <alignment horizontal="center" vertical="center" wrapText="1"/>
      <protection hidden="1"/>
    </xf>
    <xf numFmtId="0" fontId="13" fillId="16" borderId="21" xfId="0" applyFont="1" applyFill="1" applyBorder="1" applyAlignment="1" applyProtection="1">
      <alignment horizontal="center" vertical="center" wrapText="1"/>
      <protection hidden="1"/>
    </xf>
    <xf numFmtId="0" fontId="13" fillId="16" borderId="22" xfId="0" applyFont="1" applyFill="1" applyBorder="1" applyAlignment="1" applyProtection="1">
      <alignment horizontal="center" vertical="center" wrapText="1"/>
      <protection hidden="1"/>
    </xf>
    <xf numFmtId="0" fontId="13" fillId="16" borderId="23" xfId="0" applyFont="1" applyFill="1" applyBorder="1" applyAlignment="1" applyProtection="1">
      <alignment horizontal="center" vertical="center" wrapText="1"/>
      <protection hidden="1"/>
    </xf>
    <xf numFmtId="166" fontId="10" fillId="16" borderId="33" xfId="0" applyNumberFormat="1" applyFont="1" applyFill="1" applyBorder="1" applyAlignment="1" applyProtection="1">
      <alignment horizontal="left" vertical="center"/>
      <protection hidden="1"/>
    </xf>
    <xf numFmtId="0" fontId="27" fillId="16" borderId="10" xfId="0" applyFont="1" applyFill="1" applyBorder="1" applyAlignment="1">
      <alignment horizontal="center" vertical="center"/>
    </xf>
    <xf numFmtId="0" fontId="27" fillId="16" borderId="0" xfId="0" applyFont="1" applyFill="1" applyAlignment="1">
      <alignment horizontal="center" vertical="center"/>
    </xf>
    <xf numFmtId="0" fontId="27" fillId="16" borderId="11" xfId="0" applyFont="1" applyFill="1" applyBorder="1" applyAlignment="1">
      <alignment horizontal="center" vertical="center"/>
    </xf>
    <xf numFmtId="0" fontId="28" fillId="10" borderId="0" xfId="0" applyFont="1" applyFill="1" applyAlignment="1">
      <alignment horizontal="center" vertical="center"/>
    </xf>
    <xf numFmtId="0" fontId="28" fillId="10" borderId="13" xfId="0" applyFont="1" applyFill="1" applyBorder="1" applyAlignment="1">
      <alignment horizontal="center" vertical="center"/>
    </xf>
    <xf numFmtId="0" fontId="29" fillId="0" borderId="0" xfId="1" applyFont="1" applyAlignment="1" applyProtection="1">
      <alignment horizontal="left"/>
    </xf>
    <xf numFmtId="0" fontId="20" fillId="0" borderId="0" xfId="1" applyFont="1" applyAlignment="1" applyProtection="1">
      <alignment horizontal="left"/>
    </xf>
    <xf numFmtId="0" fontId="27" fillId="20" borderId="0" xfId="0" applyFont="1" applyFill="1" applyAlignment="1">
      <alignment horizontal="center"/>
    </xf>
    <xf numFmtId="0" fontId="3" fillId="20" borderId="0" xfId="0" applyFont="1" applyFill="1" applyAlignment="1">
      <alignment horizontal="center" wrapText="1"/>
    </xf>
    <xf numFmtId="0" fontId="4" fillId="3" borderId="0" xfId="0" applyFont="1" applyFill="1" applyAlignment="1">
      <alignment horizontal="left" vertical="top" wrapText="1"/>
    </xf>
  </cellXfs>
  <cellStyles count="3">
    <cellStyle name="Hyperlink" xfId="1" builtinId="8"/>
    <cellStyle name="Normal" xfId="0" builtinId="0"/>
    <cellStyle name="Normal 2" xfId="2" xr:uid="{00000000-0005-0000-0000-000002000000}"/>
  </cellStyles>
  <dxfs count="78">
    <dxf>
      <font>
        <color theme="0"/>
      </font>
    </dxf>
    <dxf>
      <font>
        <color rgb="FF9C0006"/>
      </font>
      <fill>
        <patternFill>
          <bgColor rgb="FFFFC7CE"/>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b/>
        <i val="0"/>
      </font>
    </dxf>
    <dxf>
      <font>
        <b val="0"/>
        <i/>
        <color theme="1" tint="0.499984740745262"/>
      </font>
    </dxf>
    <dxf>
      <font>
        <b/>
        <i val="0"/>
        <color rgb="FFC00000"/>
      </font>
    </dxf>
    <dxf>
      <font>
        <b val="0"/>
        <i/>
        <color theme="1" tint="0.499984740745262"/>
      </font>
    </dxf>
    <dxf>
      <font>
        <b val="0"/>
        <i/>
        <color theme="1" tint="0.499984740745262"/>
      </font>
    </dxf>
    <dxf>
      <font>
        <b/>
        <i val="0"/>
        <color rgb="FFC00000"/>
      </font>
    </dxf>
    <dxf>
      <font>
        <b val="0"/>
        <i/>
        <color theme="1" tint="0.499984740745262"/>
      </font>
    </dxf>
    <dxf>
      <font>
        <b/>
        <i val="0"/>
        <color rgb="FFC00000"/>
      </font>
    </dxf>
    <dxf>
      <font>
        <b val="0"/>
        <i/>
        <color theme="1" tint="0.499984740745262"/>
      </font>
    </dxf>
    <dxf>
      <font>
        <b/>
        <i val="0"/>
        <color rgb="FFC00000"/>
      </font>
    </dxf>
    <dxf>
      <font>
        <b val="0"/>
        <i/>
        <color theme="1" tint="0.499984740745262"/>
      </font>
    </dxf>
    <dxf>
      <font>
        <b/>
        <i val="0"/>
      </font>
    </dxf>
    <dxf>
      <fill>
        <patternFill>
          <bgColor theme="0" tint="-0.14996795556505021"/>
        </patternFill>
      </fill>
    </dxf>
    <dxf>
      <fill>
        <patternFill>
          <bgColor theme="0" tint="-0.14996795556505021"/>
        </patternFill>
      </fill>
    </dxf>
    <dxf>
      <font>
        <b/>
        <i val="0"/>
      </font>
    </dxf>
    <dxf>
      <font>
        <b val="0"/>
        <i/>
        <color theme="1" tint="0.499984740745262"/>
      </font>
    </dxf>
    <dxf>
      <font>
        <b/>
        <i val="0"/>
      </font>
    </dxf>
    <dxf>
      <font>
        <b val="0"/>
        <i/>
        <color theme="1" tint="0.499984740745262"/>
      </font>
    </dxf>
    <dxf>
      <font>
        <b val="0"/>
        <i/>
        <color theme="1" tint="0.499984740745262"/>
      </font>
    </dxf>
    <dxf>
      <font>
        <b val="0"/>
        <i/>
        <color theme="1" tint="0.499984740745262"/>
      </font>
    </dxf>
    <dxf>
      <font>
        <b/>
        <i val="0"/>
        <color rgb="FFC00000"/>
      </font>
    </dxf>
    <dxf>
      <font>
        <b/>
        <i val="0"/>
        <color rgb="FFC00000"/>
      </font>
    </dxf>
    <dxf>
      <font>
        <b val="0"/>
        <i/>
        <color theme="1" tint="0.499984740745262"/>
      </font>
    </dxf>
    <dxf>
      <font>
        <b val="0"/>
        <i/>
        <color theme="1" tint="0.499984740745262"/>
      </font>
    </dxf>
    <dxf>
      <font>
        <b/>
        <i val="0"/>
        <color rgb="FFC00000"/>
      </font>
    </dxf>
    <dxf>
      <font>
        <b/>
        <i val="0"/>
        <color rgb="FFC00000"/>
      </font>
    </dxf>
    <dxf>
      <font>
        <b/>
        <i val="0"/>
      </font>
    </dxf>
    <dxf>
      <font>
        <b val="0"/>
        <i/>
        <color theme="1" tint="0.499984740745262"/>
      </font>
    </dxf>
    <dxf>
      <font>
        <color rgb="FFFF0000"/>
      </font>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9" tint="0.79998168889431442"/>
        </patternFill>
      </fill>
    </dxf>
    <dxf>
      <fill>
        <patternFill>
          <bgColor theme="0" tint="-0.14996795556505021"/>
        </patternFill>
      </fill>
    </dxf>
    <dxf>
      <font>
        <b val="0"/>
        <i/>
        <color theme="1" tint="0.499984740745262"/>
      </font>
    </dxf>
    <dxf>
      <font>
        <b/>
        <i val="0"/>
      </font>
    </dxf>
    <dxf>
      <font>
        <b/>
        <i val="0"/>
      </font>
    </dxf>
    <dxf>
      <font>
        <b val="0"/>
        <i/>
        <color theme="1" tint="0.499984740745262"/>
      </font>
    </dxf>
    <dxf>
      <font>
        <b/>
        <i val="0"/>
        <color rgb="FFC00000"/>
      </font>
    </dxf>
    <dxf>
      <font>
        <b/>
        <i val="0"/>
        <color rgb="FFC00000"/>
      </font>
    </dxf>
    <dxf>
      <font>
        <b val="0"/>
        <i/>
        <color theme="1" tint="0.499984740745262"/>
      </font>
    </dxf>
    <dxf>
      <font>
        <b val="0"/>
        <i/>
        <color theme="1" tint="0.499984740745262"/>
      </font>
    </dxf>
    <dxf>
      <font>
        <b val="0"/>
        <i/>
        <color theme="1" tint="0.499984740745262"/>
      </font>
    </dxf>
    <dxf>
      <font>
        <b val="0"/>
        <i/>
        <color theme="1" tint="0.499984740745262"/>
      </font>
    </dxf>
    <dxf>
      <font>
        <b/>
        <i val="0"/>
        <color rgb="FFC00000"/>
      </font>
    </dxf>
    <dxf>
      <font>
        <b/>
        <i val="0"/>
        <color rgb="FFC00000"/>
      </font>
    </dxf>
    <dxf>
      <font>
        <b/>
        <i val="0"/>
        <color rgb="FFC00000"/>
      </font>
    </dxf>
    <dxf>
      <font>
        <b val="0"/>
        <i/>
        <color theme="1" tint="0.499984740745262"/>
      </font>
    </dxf>
    <dxf>
      <font>
        <b val="0"/>
        <i/>
        <color theme="1" tint="0.499984740745262"/>
      </font>
    </dxf>
    <dxf>
      <font>
        <b/>
        <i val="0"/>
        <color rgb="FFC00000"/>
      </font>
    </dxf>
    <dxf>
      <font>
        <b/>
        <i val="0"/>
        <color rgb="FFC00000"/>
      </font>
    </dxf>
    <dxf>
      <font>
        <b val="0"/>
        <i/>
        <color theme="1" tint="0.499984740745262"/>
      </font>
    </dxf>
    <dxf>
      <font>
        <b val="0"/>
        <i/>
        <color theme="1" tint="0.499984740745262"/>
      </font>
    </dxf>
    <dxf>
      <font>
        <b/>
        <i val="0"/>
        <color rgb="FFC00000"/>
      </font>
    </dxf>
    <dxf>
      <font>
        <b/>
        <i val="0"/>
        <color rgb="FFC00000"/>
      </font>
    </dxf>
    <dxf>
      <font>
        <b val="0"/>
        <i/>
        <color theme="1" tint="0.499984740745262"/>
      </font>
    </dxf>
    <dxf>
      <font>
        <b val="0"/>
        <i/>
        <color theme="1" tint="0.499984740745262"/>
      </font>
    </dxf>
    <dxf>
      <font>
        <b/>
        <i val="0"/>
        <color rgb="FFC00000"/>
      </font>
    </dxf>
    <dxf>
      <font>
        <b val="0"/>
        <i/>
        <color theme="1" tint="0.499984740745262"/>
      </font>
    </dxf>
    <dxf>
      <font>
        <b/>
        <i val="0"/>
        <color rgb="FFC00000"/>
      </font>
    </dxf>
    <dxf>
      <font>
        <b/>
        <i val="0"/>
        <color rgb="FFC00000"/>
      </font>
    </dxf>
    <dxf>
      <font>
        <b val="0"/>
        <i/>
        <color theme="1" tint="0.499984740745262"/>
      </font>
    </dxf>
    <dxf>
      <fill>
        <patternFill>
          <bgColor theme="0" tint="-0.14996795556505021"/>
        </patternFill>
      </fill>
    </dxf>
    <dxf>
      <fill>
        <patternFill>
          <bgColor theme="0" tint="-0.14996795556505021"/>
        </patternFill>
      </fill>
    </dxf>
    <dxf>
      <font>
        <b/>
        <i val="0"/>
        <color rgb="FFC00000"/>
      </font>
    </dxf>
    <dxf>
      <font>
        <b val="0"/>
        <i/>
        <color theme="1" tint="0.499984740745262"/>
      </font>
    </dxf>
    <dxf>
      <font>
        <b val="0"/>
        <i/>
        <color theme="1" tint="0.499984740745262"/>
      </font>
    </dxf>
    <dxf>
      <font>
        <b/>
        <i val="0"/>
        <color rgb="FFC00000"/>
      </font>
    </dxf>
    <dxf>
      <font>
        <b/>
        <i val="0"/>
        <color rgb="FFC00000"/>
      </font>
    </dxf>
    <dxf>
      <font>
        <b val="0"/>
        <i/>
        <color theme="1" tint="0.499984740745262"/>
      </font>
    </dxf>
    <dxf>
      <font>
        <b val="0"/>
        <i/>
        <color theme="1" tint="0.499984740745262"/>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5.emf"/><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s>
</file>

<file path=xl/drawings/_rels/drawing2.xml.rels><?xml version="1.0" encoding="UTF-8" standalone="yes"?>
<Relationships xmlns="http://schemas.openxmlformats.org/package/2006/relationships"><Relationship Id="rId8" Type="http://schemas.openxmlformats.org/officeDocument/2006/relationships/image" Target="../media/image55.png"/><Relationship Id="rId13" Type="http://schemas.openxmlformats.org/officeDocument/2006/relationships/image" Target="../media/image60.png"/><Relationship Id="rId18" Type="http://schemas.openxmlformats.org/officeDocument/2006/relationships/image" Target="../media/image65.png"/><Relationship Id="rId3" Type="http://schemas.openxmlformats.org/officeDocument/2006/relationships/image" Target="../media/image50.png"/><Relationship Id="rId7" Type="http://schemas.openxmlformats.org/officeDocument/2006/relationships/image" Target="../media/image54.png"/><Relationship Id="rId12" Type="http://schemas.openxmlformats.org/officeDocument/2006/relationships/image" Target="../media/image59.png"/><Relationship Id="rId17" Type="http://schemas.openxmlformats.org/officeDocument/2006/relationships/image" Target="../media/image64.png"/><Relationship Id="rId2" Type="http://schemas.openxmlformats.org/officeDocument/2006/relationships/image" Target="../media/image49.png"/><Relationship Id="rId16" Type="http://schemas.openxmlformats.org/officeDocument/2006/relationships/image" Target="../media/image63.png"/><Relationship Id="rId20" Type="http://schemas.openxmlformats.org/officeDocument/2006/relationships/image" Target="../media/image67.png"/><Relationship Id="rId1" Type="http://schemas.openxmlformats.org/officeDocument/2006/relationships/image" Target="../media/image48.png"/><Relationship Id="rId6" Type="http://schemas.openxmlformats.org/officeDocument/2006/relationships/image" Target="../media/image53.png"/><Relationship Id="rId11" Type="http://schemas.openxmlformats.org/officeDocument/2006/relationships/image" Target="../media/image58.png"/><Relationship Id="rId5" Type="http://schemas.openxmlformats.org/officeDocument/2006/relationships/image" Target="../media/image52.jpeg"/><Relationship Id="rId15" Type="http://schemas.openxmlformats.org/officeDocument/2006/relationships/image" Target="../media/image62.png"/><Relationship Id="rId10" Type="http://schemas.openxmlformats.org/officeDocument/2006/relationships/image" Target="../media/image57.png"/><Relationship Id="rId19" Type="http://schemas.openxmlformats.org/officeDocument/2006/relationships/image" Target="../media/image66.png"/><Relationship Id="rId4" Type="http://schemas.openxmlformats.org/officeDocument/2006/relationships/image" Target="../media/image51.png"/><Relationship Id="rId9" Type="http://schemas.openxmlformats.org/officeDocument/2006/relationships/image" Target="../media/image56.png"/><Relationship Id="rId14" Type="http://schemas.openxmlformats.org/officeDocument/2006/relationships/image" Target="../media/image61.png"/></Relationships>
</file>

<file path=xl/drawings/_rels/drawing4.xml.rels><?xml version="1.0" encoding="UTF-8" standalone="yes"?>
<Relationships xmlns="http://schemas.openxmlformats.org/package/2006/relationships"><Relationship Id="rId2" Type="http://schemas.openxmlformats.org/officeDocument/2006/relationships/image" Target="../media/image68.png"/><Relationship Id="rId1" Type="http://schemas.openxmlformats.org/officeDocument/2006/relationships/hyperlink" Target="https://www.fatfreecartpro.com/ecom/gb.php?&amp;c=single&amp;cl=353533&amp;i=1879725"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7.emf"/></Relationships>
</file>

<file path=xl/drawings/drawing1.xml><?xml version="1.0" encoding="utf-8"?>
<xdr:wsDr xmlns:xdr="http://schemas.openxmlformats.org/drawingml/2006/spreadsheetDrawing" xmlns:a="http://schemas.openxmlformats.org/drawingml/2006/main">
  <xdr:twoCellAnchor editAs="oneCell">
    <xdr:from>
      <xdr:col>11</xdr:col>
      <xdr:colOff>78352</xdr:colOff>
      <xdr:row>3</xdr:row>
      <xdr:rowOff>21224</xdr:rowOff>
    </xdr:from>
    <xdr:to>
      <xdr:col>11</xdr:col>
      <xdr:colOff>215505</xdr:colOff>
      <xdr:row>50</xdr:row>
      <xdr:rowOff>142694</xdr:rowOff>
    </xdr:to>
    <xdr:grpSp>
      <xdr:nvGrpSpPr>
        <xdr:cNvPr id="76" name="Group 75">
          <a:extLst>
            <a:ext uri="{FF2B5EF4-FFF2-40B4-BE49-F238E27FC236}">
              <a16:creationId xmlns:a16="http://schemas.microsoft.com/office/drawing/2014/main" id="{00000000-0008-0000-0100-00004C000000}"/>
            </a:ext>
          </a:extLst>
        </xdr:cNvPr>
        <xdr:cNvGrpSpPr/>
      </xdr:nvGrpSpPr>
      <xdr:grpSpPr>
        <a:xfrm>
          <a:off x="4269352" y="445519"/>
          <a:ext cx="137153" cy="7854039"/>
          <a:chOff x="3797300" y="1514114"/>
          <a:chExt cx="167109" cy="9718727"/>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99303" y="3535725"/>
            <a:ext cx="160584" cy="166404"/>
          </a:xfrm>
          <a:prstGeom prst="rect">
            <a:avLst/>
          </a:prstGeom>
        </xdr:spPr>
      </xdr:pic>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799303" y="2923978"/>
            <a:ext cx="160584" cy="166404"/>
          </a:xfrm>
          <a:prstGeom prst="rect">
            <a:avLst/>
          </a:prstGeom>
        </xdr:spPr>
      </xdr:pic>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7300" y="3331276"/>
            <a:ext cx="164592" cy="166404"/>
          </a:xfrm>
          <a:prstGeom prst="rect">
            <a:avLst/>
          </a:prstGeom>
        </xdr:spPr>
      </xdr:pic>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800076" y="4147473"/>
            <a:ext cx="159041" cy="164805"/>
          </a:xfrm>
          <a:prstGeom prst="rect">
            <a:avLst/>
          </a:prstGeom>
        </xdr:spPr>
      </xdr:pic>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800070" y="1705280"/>
            <a:ext cx="159040" cy="164803"/>
          </a:xfrm>
          <a:prstGeom prst="rect">
            <a:avLst/>
          </a:prstGeom>
        </xdr:spPr>
      </xdr:pic>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800076" y="3128426"/>
            <a:ext cx="159041" cy="164805"/>
          </a:xfrm>
          <a:prstGeom prst="rect">
            <a:avLst/>
          </a:prstGeom>
        </xdr:spPr>
      </xdr:pic>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800074" y="2315427"/>
            <a:ext cx="159042" cy="164806"/>
          </a:xfrm>
          <a:prstGeom prst="rect">
            <a:avLst/>
          </a:prstGeom>
        </xdr:spPr>
      </xdr:pic>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800075" y="4580924"/>
            <a:ext cx="159040" cy="164805"/>
          </a:xfrm>
          <a:prstGeom prst="rect">
            <a:avLst/>
          </a:prstGeom>
        </xdr:spPr>
      </xdr:pic>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800076" y="2519919"/>
            <a:ext cx="159041" cy="161521"/>
          </a:xfrm>
          <a:prstGeom prst="rect">
            <a:avLst/>
          </a:prstGeom>
        </xdr:spPr>
      </xdr:pic>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800076" y="2721128"/>
            <a:ext cx="159039" cy="164803"/>
          </a:xfrm>
          <a:prstGeom prst="rect">
            <a:avLst/>
          </a:prstGeom>
        </xdr:spPr>
      </xdr:pic>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800956" y="1514114"/>
            <a:ext cx="157277" cy="162976"/>
          </a:xfrm>
          <a:prstGeom prst="rect">
            <a:avLst/>
          </a:prstGeom>
        </xdr:spPr>
      </xdr:pic>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800076" y="3944623"/>
            <a:ext cx="159041" cy="164805"/>
          </a:xfrm>
          <a:prstGeom prst="rect">
            <a:avLst/>
          </a:prstGeom>
        </xdr:spPr>
      </xdr:pic>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799293" y="1920896"/>
            <a:ext cx="160585" cy="166404"/>
          </a:xfrm>
          <a:prstGeom prst="rect">
            <a:avLst/>
          </a:prstGeom>
        </xdr:spPr>
      </xdr:pic>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800066" y="4350323"/>
            <a:ext cx="159039" cy="164803"/>
          </a:xfrm>
          <a:prstGeom prst="rect">
            <a:avLst/>
          </a:prstGeom>
        </xdr:spPr>
      </xdr:pic>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799303" y="3740174"/>
            <a:ext cx="160584" cy="166404"/>
          </a:xfrm>
          <a:prstGeom prst="rect">
            <a:avLst/>
          </a:prstGeom>
        </xdr:spPr>
      </xdr:pic>
      <xdr:pic>
        <xdr:nvPicPr>
          <xdr:cNvPr id="34" name="Picture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t="1424" b="1424"/>
          <a:stretch/>
        </xdr:blipFill>
        <xdr:spPr>
          <a:xfrm>
            <a:off x="3797300" y="2109149"/>
            <a:ext cx="167109" cy="168233"/>
          </a:xfrm>
          <a:prstGeom prst="rect">
            <a:avLst/>
          </a:prstGeom>
        </xdr:spPr>
      </xdr:pic>
      <xdr:pic>
        <xdr:nvPicPr>
          <xdr:cNvPr id="38" name="Picture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799304" y="6385755"/>
            <a:ext cx="160583" cy="166404"/>
          </a:xfrm>
          <a:prstGeom prst="rect">
            <a:avLst/>
          </a:prstGeom>
        </xdr:spPr>
      </xdr:pic>
      <xdr:pic>
        <xdr:nvPicPr>
          <xdr:cNvPr id="39" name="Picture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800076" y="5571157"/>
            <a:ext cx="159039" cy="164805"/>
          </a:xfrm>
          <a:prstGeom prst="rect">
            <a:avLst/>
          </a:prstGeom>
        </xdr:spPr>
      </xdr:pic>
      <xdr:pic>
        <xdr:nvPicPr>
          <xdr:cNvPr id="44" name="Picture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800076" y="7609317"/>
            <a:ext cx="159039" cy="164805"/>
          </a:xfrm>
          <a:prstGeom prst="rect">
            <a:avLst/>
          </a:prstGeom>
        </xdr:spPr>
      </xdr:pic>
      <xdr:pic>
        <xdr:nvPicPr>
          <xdr:cNvPr id="46" name="Picture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3799304" y="6997503"/>
            <a:ext cx="160583" cy="166404"/>
          </a:xfrm>
          <a:prstGeom prst="rect">
            <a:avLst/>
          </a:prstGeom>
        </xdr:spPr>
      </xdr:pic>
      <xdr:pic>
        <xdr:nvPicPr>
          <xdr:cNvPr id="51" name="Picture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3800076" y="6182905"/>
            <a:ext cx="159039" cy="164805"/>
          </a:xfrm>
          <a:prstGeom prst="rect">
            <a:avLst/>
          </a:prstGeom>
        </xdr:spPr>
      </xdr:pic>
      <xdr:pic>
        <xdr:nvPicPr>
          <xdr:cNvPr id="52" name="Picture 51">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3800077" y="7812167"/>
            <a:ext cx="159038" cy="164803"/>
          </a:xfrm>
          <a:prstGeom prst="rect">
            <a:avLst/>
          </a:prstGeom>
        </xdr:spPr>
      </xdr:pic>
      <xdr:pic>
        <xdr:nvPicPr>
          <xdr:cNvPr id="53" name="Picture 52">
            <a:extLst>
              <a:ext uri="{FF2B5EF4-FFF2-40B4-BE49-F238E27FC236}">
                <a16:creationId xmlns:a16="http://schemas.microsoft.com/office/drawing/2014/main" id="{00000000-0008-0000-0100-000035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3799304" y="6590205"/>
            <a:ext cx="160583" cy="166404"/>
          </a:xfrm>
          <a:prstGeom prst="rect">
            <a:avLst/>
          </a:prstGeom>
        </xdr:spPr>
      </xdr:pic>
      <xdr:pic>
        <xdr:nvPicPr>
          <xdr:cNvPr id="54" name="Picture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3799304" y="5774007"/>
            <a:ext cx="160583" cy="166404"/>
          </a:xfrm>
          <a:prstGeom prst="rect">
            <a:avLst/>
          </a:prstGeom>
        </xdr:spPr>
      </xdr:pic>
      <xdr:pic>
        <xdr:nvPicPr>
          <xdr:cNvPr id="55" name="Picture 54">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799304" y="5978456"/>
            <a:ext cx="160583" cy="166404"/>
          </a:xfrm>
          <a:prstGeom prst="rect">
            <a:avLst/>
          </a:prstGeom>
        </xdr:spPr>
      </xdr:pic>
      <xdr:pic>
        <xdr:nvPicPr>
          <xdr:cNvPr id="59" name="Picture 58">
            <a:extLst>
              <a:ext uri="{FF2B5EF4-FFF2-40B4-BE49-F238E27FC236}">
                <a16:creationId xmlns:a16="http://schemas.microsoft.com/office/drawing/2014/main" id="{00000000-0008-0000-0100-00003B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3799304" y="4960538"/>
            <a:ext cx="160583" cy="166404"/>
          </a:xfrm>
          <a:prstGeom prst="rect">
            <a:avLst/>
          </a:prstGeom>
        </xdr:spPr>
      </xdr:pic>
      <xdr:pic>
        <xdr:nvPicPr>
          <xdr:cNvPr id="60" name="Picture 59">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3799849" y="5367836"/>
            <a:ext cx="159494" cy="165276"/>
          </a:xfrm>
          <a:prstGeom prst="rect">
            <a:avLst/>
          </a:prstGeom>
        </xdr:spPr>
      </xdr:pic>
      <xdr:pic>
        <xdr:nvPicPr>
          <xdr:cNvPr id="61" name="Picture 60">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3800077" y="5164987"/>
            <a:ext cx="159038" cy="164803"/>
          </a:xfrm>
          <a:prstGeom prst="rect">
            <a:avLst/>
          </a:prstGeom>
        </xdr:spPr>
      </xdr:pic>
      <xdr:pic>
        <xdr:nvPicPr>
          <xdr:cNvPr id="64" name="Picture 63">
            <a:extLst>
              <a:ext uri="{FF2B5EF4-FFF2-40B4-BE49-F238E27FC236}">
                <a16:creationId xmlns:a16="http://schemas.microsoft.com/office/drawing/2014/main" id="{00000000-0008-0000-0100-000040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3800076" y="7406467"/>
            <a:ext cx="159039" cy="164805"/>
          </a:xfrm>
          <a:prstGeom prst="rect">
            <a:avLst/>
          </a:prstGeom>
        </xdr:spPr>
      </xdr:pic>
      <xdr:pic>
        <xdr:nvPicPr>
          <xdr:cNvPr id="65" name="Picture 64">
            <a:extLst>
              <a:ext uri="{FF2B5EF4-FFF2-40B4-BE49-F238E27FC236}">
                <a16:creationId xmlns:a16="http://schemas.microsoft.com/office/drawing/2014/main" id="{00000000-0008-0000-0100-000041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3800076" y="6794653"/>
            <a:ext cx="159039" cy="164805"/>
          </a:xfrm>
          <a:prstGeom prst="rect">
            <a:avLst/>
          </a:prstGeom>
        </xdr:spPr>
      </xdr:pic>
      <xdr:pic>
        <xdr:nvPicPr>
          <xdr:cNvPr id="70" name="Picture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3799304" y="9238781"/>
            <a:ext cx="160583" cy="166404"/>
          </a:xfrm>
          <a:prstGeom prst="rect">
            <a:avLst/>
          </a:prstGeom>
        </xdr:spPr>
      </xdr:pic>
      <xdr:pic>
        <xdr:nvPicPr>
          <xdr:cNvPr id="77" name="Picture 76">
            <a:extLst>
              <a:ext uri="{FF2B5EF4-FFF2-40B4-BE49-F238E27FC236}">
                <a16:creationId xmlns:a16="http://schemas.microsoft.com/office/drawing/2014/main" id="{00000000-0008-0000-0100-00004D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3800077" y="10871173"/>
            <a:ext cx="159038" cy="164803"/>
          </a:xfrm>
          <a:prstGeom prst="rect">
            <a:avLst/>
          </a:prstGeom>
        </xdr:spPr>
      </xdr:pic>
      <xdr:pic>
        <xdr:nvPicPr>
          <xdr:cNvPr id="78" name="Picture 77">
            <a:extLst>
              <a:ext uri="{FF2B5EF4-FFF2-40B4-BE49-F238E27FC236}">
                <a16:creationId xmlns:a16="http://schemas.microsoft.com/office/drawing/2014/main" id="{00000000-0008-0000-0100-00004E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3800077" y="10054978"/>
            <a:ext cx="159038" cy="164803"/>
          </a:xfrm>
          <a:prstGeom prst="rect">
            <a:avLst/>
          </a:prstGeom>
        </xdr:spPr>
      </xdr:pic>
      <xdr:pic>
        <xdr:nvPicPr>
          <xdr:cNvPr id="79" name="Picture 78">
            <a:extLst>
              <a:ext uri="{FF2B5EF4-FFF2-40B4-BE49-F238E27FC236}">
                <a16:creationId xmlns:a16="http://schemas.microsoft.com/office/drawing/2014/main" id="{00000000-0008-0000-0100-00004F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3799304" y="10257827"/>
            <a:ext cx="160583" cy="166404"/>
          </a:xfrm>
          <a:prstGeom prst="rect">
            <a:avLst/>
          </a:prstGeom>
        </xdr:spPr>
      </xdr:pic>
      <xdr:pic>
        <xdr:nvPicPr>
          <xdr:cNvPr id="80" name="Picture 79">
            <a:extLst>
              <a:ext uri="{FF2B5EF4-FFF2-40B4-BE49-F238E27FC236}">
                <a16:creationId xmlns:a16="http://schemas.microsoft.com/office/drawing/2014/main" id="{00000000-0008-0000-0100-000050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3800076" y="9647679"/>
            <a:ext cx="159039" cy="164805"/>
          </a:xfrm>
          <a:prstGeom prst="rect">
            <a:avLst/>
          </a:prstGeom>
        </xdr:spPr>
      </xdr:pic>
      <xdr:pic>
        <xdr:nvPicPr>
          <xdr:cNvPr id="82" name="Picture 81">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799304" y="9034332"/>
            <a:ext cx="160583" cy="166404"/>
          </a:xfrm>
          <a:prstGeom prst="rect">
            <a:avLst/>
          </a:prstGeom>
        </xdr:spPr>
      </xdr:pic>
      <xdr:pic>
        <xdr:nvPicPr>
          <xdr:cNvPr id="83" name="Picture 82">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3799304" y="10666725"/>
            <a:ext cx="160583" cy="166404"/>
          </a:xfrm>
          <a:prstGeom prst="rect">
            <a:avLst/>
          </a:prstGeom>
        </xdr:spPr>
      </xdr:pic>
      <xdr:pic>
        <xdr:nvPicPr>
          <xdr:cNvPr id="84" name="Picture 83">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3799304" y="9443230"/>
            <a:ext cx="160583" cy="166404"/>
          </a:xfrm>
          <a:prstGeom prst="rect">
            <a:avLst/>
          </a:prstGeom>
        </xdr:spPr>
      </xdr:pic>
      <xdr:pic>
        <xdr:nvPicPr>
          <xdr:cNvPr id="85" name="Picture 84">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3799304" y="10462276"/>
            <a:ext cx="160583" cy="166404"/>
          </a:xfrm>
          <a:prstGeom prst="rect">
            <a:avLst/>
          </a:prstGeom>
        </xdr:spPr>
      </xdr:pic>
      <xdr:pic>
        <xdr:nvPicPr>
          <xdr:cNvPr id="86" name="Picture 85">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3799304" y="9850529"/>
            <a:ext cx="160583" cy="166404"/>
          </a:xfrm>
          <a:prstGeom prst="rect">
            <a:avLst/>
          </a:prstGeom>
        </xdr:spPr>
      </xdr:pic>
      <xdr:pic>
        <xdr:nvPicPr>
          <xdr:cNvPr id="92" name="Picture 91">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3800076" y="8015016"/>
            <a:ext cx="159039" cy="164805"/>
          </a:xfrm>
          <a:prstGeom prst="rect">
            <a:avLst/>
          </a:prstGeom>
        </xdr:spPr>
      </xdr:pic>
      <xdr:pic>
        <xdr:nvPicPr>
          <xdr:cNvPr id="93" name="Picture 92">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3799849" y="8627907"/>
            <a:ext cx="159494" cy="165276"/>
          </a:xfrm>
          <a:prstGeom prst="rect">
            <a:avLst/>
          </a:prstGeom>
        </xdr:spPr>
      </xdr:pic>
      <xdr:pic>
        <xdr:nvPicPr>
          <xdr:cNvPr id="99" name="Picture 98">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3798784" y="8217866"/>
            <a:ext cx="161622" cy="167481"/>
          </a:xfrm>
          <a:prstGeom prst="rect">
            <a:avLst/>
          </a:prstGeom>
        </xdr:spPr>
      </xdr:pic>
      <xdr:pic>
        <xdr:nvPicPr>
          <xdr:cNvPr id="139" name="Picture 138">
            <a:extLst>
              <a:ext uri="{FF2B5EF4-FFF2-40B4-BE49-F238E27FC236}">
                <a16:creationId xmlns:a16="http://schemas.microsoft.com/office/drawing/2014/main" id="{00000000-0008-0000-0100-00008B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xdr:blipFill>
        <xdr:spPr>
          <a:xfrm>
            <a:off x="3799271" y="4756022"/>
            <a:ext cx="160648" cy="166471"/>
          </a:xfrm>
          <a:prstGeom prst="rect">
            <a:avLst/>
          </a:prstGeom>
        </xdr:spPr>
      </xdr:pic>
      <xdr:pic>
        <xdr:nvPicPr>
          <xdr:cNvPr id="141" name="Picture 140">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xdr:blipFill>
        <xdr:spPr>
          <a:xfrm>
            <a:off x="3799273" y="7201952"/>
            <a:ext cx="160647" cy="166470"/>
          </a:xfrm>
          <a:prstGeom prst="rect">
            <a:avLst/>
          </a:prstGeom>
        </xdr:spPr>
      </xdr:pic>
      <xdr:pic>
        <xdr:nvPicPr>
          <xdr:cNvPr id="143" name="Picture 142">
            <a:extLst>
              <a:ext uri="{FF2B5EF4-FFF2-40B4-BE49-F238E27FC236}">
                <a16:creationId xmlns:a16="http://schemas.microsoft.com/office/drawing/2014/main" id="{00000000-0008-0000-0100-00008F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3799273" y="8423393"/>
            <a:ext cx="160647" cy="166470"/>
          </a:xfrm>
          <a:prstGeom prst="rect">
            <a:avLst/>
          </a:prstGeom>
        </xdr:spPr>
      </xdr:pic>
      <xdr:pic>
        <xdr:nvPicPr>
          <xdr:cNvPr id="148" name="Picture 147">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3799889" y="11067650"/>
            <a:ext cx="159412" cy="165191"/>
          </a:xfrm>
          <a:prstGeom prst="rect">
            <a:avLst/>
          </a:prstGeom>
        </xdr:spPr>
      </xdr:pic>
      <xdr:pic>
        <xdr:nvPicPr>
          <xdr:cNvPr id="149" name="Picture 148">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3799954" y="8831228"/>
            <a:ext cx="159284" cy="165058"/>
          </a:xfrm>
          <a:prstGeom prst="rect">
            <a:avLst/>
          </a:prstGeom>
        </xdr:spPr>
      </xdr:pic>
    </xdr:grpSp>
    <xdr:clientData/>
  </xdr:twoCellAnchor>
  <xdr:twoCellAnchor editAs="oneCell">
    <xdr:from>
      <xdr:col>8</xdr:col>
      <xdr:colOff>57468</xdr:colOff>
      <xdr:row>3</xdr:row>
      <xdr:rowOff>14947</xdr:rowOff>
    </xdr:from>
    <xdr:to>
      <xdr:col>8</xdr:col>
      <xdr:colOff>194628</xdr:colOff>
      <xdr:row>50</xdr:row>
      <xdr:rowOff>149750</xdr:rowOff>
    </xdr:to>
    <xdr:grpSp>
      <xdr:nvGrpSpPr>
        <xdr:cNvPr id="72" name="Group 71">
          <a:extLst>
            <a:ext uri="{FF2B5EF4-FFF2-40B4-BE49-F238E27FC236}">
              <a16:creationId xmlns:a16="http://schemas.microsoft.com/office/drawing/2014/main" id="{00000000-0008-0000-0100-000048000000}"/>
            </a:ext>
          </a:extLst>
        </xdr:cNvPr>
        <xdr:cNvGrpSpPr/>
      </xdr:nvGrpSpPr>
      <xdr:grpSpPr>
        <a:xfrm>
          <a:off x="3521104" y="439242"/>
          <a:ext cx="137160" cy="7867372"/>
          <a:chOff x="3061018" y="1491212"/>
          <a:chExt cx="167109" cy="9741629"/>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3063077" y="4556962"/>
            <a:ext cx="160473" cy="166402"/>
          </a:xfrm>
          <a:prstGeom prst="rect">
            <a:avLst/>
          </a:prstGeom>
        </xdr:spPr>
      </xdr:pic>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3063849" y="2319063"/>
            <a:ext cx="158929" cy="164801"/>
          </a:xfrm>
          <a:prstGeom prst="rect">
            <a:avLst/>
          </a:prstGeom>
        </xdr:spPr>
      </xdr:pic>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062196" y="1698926"/>
            <a:ext cx="162236" cy="168230"/>
          </a:xfrm>
          <a:prstGeom prst="rect">
            <a:avLst/>
          </a:prstGeom>
        </xdr:spPr>
      </xdr:pic>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3063077" y="3945232"/>
            <a:ext cx="160473" cy="166402"/>
          </a:xfrm>
          <a:prstGeom prst="rect">
            <a:avLst/>
          </a:prstGeom>
        </xdr:spPr>
      </xdr:pic>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3063849" y="3539547"/>
            <a:ext cx="158929" cy="164801"/>
          </a:xfrm>
          <a:prstGeom prst="rect">
            <a:avLst/>
          </a:prstGeom>
        </xdr:spPr>
      </xdr:pic>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3063849" y="3336704"/>
            <a:ext cx="158928" cy="164800"/>
          </a:xfrm>
          <a:prstGeom prst="rect">
            <a:avLst/>
          </a:prstGeom>
        </xdr:spPr>
      </xdr:pic>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3063849" y="3742390"/>
            <a:ext cx="158928" cy="164800"/>
          </a:xfrm>
          <a:prstGeom prst="rect">
            <a:avLst/>
          </a:prstGeom>
        </xdr:spPr>
      </xdr:pic>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3063849" y="2931021"/>
            <a:ext cx="158928" cy="164800"/>
          </a:xfrm>
          <a:prstGeom prst="rect">
            <a:avLst/>
          </a:prstGeom>
        </xdr:spPr>
      </xdr:pic>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3063849" y="4354120"/>
            <a:ext cx="158929" cy="164801"/>
          </a:xfrm>
          <a:prstGeom prst="rect">
            <a:avLst/>
          </a:prstGeom>
        </xdr:spPr>
      </xdr:pic>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3063849" y="2728178"/>
            <a:ext cx="158928" cy="164800"/>
          </a:xfrm>
          <a:prstGeom prst="rect">
            <a:avLst/>
          </a:prstGeom>
        </xdr:spPr>
      </xdr:pic>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063077" y="4149675"/>
            <a:ext cx="160473" cy="166402"/>
          </a:xfrm>
          <a:prstGeom prst="rect">
            <a:avLst/>
          </a:prstGeom>
        </xdr:spPr>
      </xdr:pic>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3063849" y="3133862"/>
            <a:ext cx="158929" cy="164801"/>
          </a:xfrm>
          <a:prstGeom prst="rect">
            <a:avLst/>
          </a:prstGeom>
        </xdr:spPr>
      </xdr:pic>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xdr:blipFill>
        <xdr:spPr>
          <a:xfrm>
            <a:off x="3062196" y="2521905"/>
            <a:ext cx="162236" cy="168230"/>
          </a:xfrm>
          <a:prstGeom prst="rect">
            <a:avLst/>
          </a:prstGeom>
        </xdr:spPr>
      </xdr:pic>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a:xfrm>
            <a:off x="3063077" y="1901673"/>
            <a:ext cx="160474" cy="166403"/>
          </a:xfrm>
          <a:prstGeom prst="rect">
            <a:avLst/>
          </a:prstGeom>
        </xdr:spPr>
      </xdr:pic>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3061968" y="2112318"/>
            <a:ext cx="162691" cy="168703"/>
          </a:xfrm>
          <a:prstGeom prst="rect">
            <a:avLst/>
          </a:prstGeom>
        </xdr:spPr>
      </xdr:pic>
      <xdr:pic>
        <xdr:nvPicPr>
          <xdr:cNvPr id="33" name="Picture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xdr:blipFill>
        <xdr:spPr>
          <a:xfrm>
            <a:off x="3061787" y="1491212"/>
            <a:ext cx="163054" cy="169079"/>
          </a:xfrm>
          <a:prstGeom prst="rect">
            <a:avLst/>
          </a:prstGeom>
        </xdr:spPr>
      </xdr:pic>
      <xdr:pic>
        <xdr:nvPicPr>
          <xdr:cNvPr id="36" name="Picture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xdr:blipFill>
        <xdr:spPr>
          <a:xfrm>
            <a:off x="3063077" y="7611887"/>
            <a:ext cx="160473" cy="166402"/>
          </a:xfrm>
          <a:prstGeom prst="rect">
            <a:avLst/>
          </a:prstGeom>
        </xdr:spPr>
      </xdr:pic>
      <xdr:pic>
        <xdr:nvPicPr>
          <xdr:cNvPr id="37" name="Picture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063849" y="6188785"/>
            <a:ext cx="158929" cy="164801"/>
          </a:xfrm>
          <a:prstGeom prst="rect">
            <a:avLst/>
          </a:prstGeom>
        </xdr:spPr>
      </xdr:pic>
      <xdr:pic>
        <xdr:nvPicPr>
          <xdr:cNvPr id="40" name="Picture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63077" y="6391628"/>
            <a:ext cx="160473" cy="166402"/>
          </a:xfrm>
          <a:prstGeom prst="rect">
            <a:avLst/>
          </a:prstGeom>
        </xdr:spPr>
      </xdr:pic>
      <xdr:pic>
        <xdr:nvPicPr>
          <xdr:cNvPr id="41" name="Picture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3063849" y="7409045"/>
            <a:ext cx="158929" cy="164801"/>
          </a:xfrm>
          <a:prstGeom prst="rect">
            <a:avLst/>
          </a:prstGeom>
        </xdr:spPr>
      </xdr:pic>
      <xdr:pic>
        <xdr:nvPicPr>
          <xdr:cNvPr id="43" name="Picture 4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3063849" y="5374212"/>
            <a:ext cx="158928" cy="164800"/>
          </a:xfrm>
          <a:prstGeom prst="rect">
            <a:avLst/>
          </a:prstGeom>
        </xdr:spPr>
      </xdr:pic>
      <xdr:pic>
        <xdr:nvPicPr>
          <xdr:cNvPr id="45" name="Picture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3063849" y="7003359"/>
            <a:ext cx="158928" cy="164800"/>
          </a:xfrm>
          <a:prstGeom prst="rect">
            <a:avLst/>
          </a:prstGeom>
        </xdr:spPr>
      </xdr:pic>
      <xdr:pic>
        <xdr:nvPicPr>
          <xdr:cNvPr id="47" name="Picture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063849" y="6596072"/>
            <a:ext cx="158929" cy="164801"/>
          </a:xfrm>
          <a:prstGeom prst="rect">
            <a:avLst/>
          </a:prstGeom>
        </xdr:spPr>
      </xdr:pic>
      <xdr:pic>
        <xdr:nvPicPr>
          <xdr:cNvPr id="48" name="Picture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3063077" y="6798915"/>
            <a:ext cx="160473" cy="166402"/>
          </a:xfrm>
          <a:prstGeom prst="rect">
            <a:avLst/>
          </a:prstGeom>
        </xdr:spPr>
      </xdr:pic>
      <xdr:pic>
        <xdr:nvPicPr>
          <xdr:cNvPr id="49" name="Picture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063849" y="5987583"/>
            <a:ext cx="158928" cy="161521"/>
          </a:xfrm>
          <a:prstGeom prst="rect">
            <a:avLst/>
          </a:prstGeom>
        </xdr:spPr>
      </xdr:pic>
      <xdr:pic>
        <xdr:nvPicPr>
          <xdr:cNvPr id="50" name="Picture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xdr:blipFill>
        <xdr:spPr>
          <a:xfrm>
            <a:off x="3063849" y="7816332"/>
            <a:ext cx="158928" cy="164800"/>
          </a:xfrm>
          <a:prstGeom prst="rect">
            <a:avLst/>
          </a:prstGeom>
        </xdr:spPr>
      </xdr:pic>
      <xdr:pic>
        <xdr:nvPicPr>
          <xdr:cNvPr id="57" name="Picture 56">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3063077" y="5577055"/>
            <a:ext cx="160473" cy="166402"/>
          </a:xfrm>
          <a:prstGeom prst="rect">
            <a:avLst/>
          </a:prstGeom>
        </xdr:spPr>
      </xdr:pic>
      <xdr:pic>
        <xdr:nvPicPr>
          <xdr:cNvPr id="58" name="Picture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3063077" y="5781499"/>
            <a:ext cx="160473" cy="166402"/>
          </a:xfrm>
          <a:prstGeom prst="rect">
            <a:avLst/>
          </a:prstGeom>
        </xdr:spPr>
      </xdr:pic>
      <xdr:pic>
        <xdr:nvPicPr>
          <xdr:cNvPr id="63" name="Picture 62">
            <a:extLst>
              <a:ext uri="{FF2B5EF4-FFF2-40B4-BE49-F238E27FC236}">
                <a16:creationId xmlns:a16="http://schemas.microsoft.com/office/drawing/2014/main" id="{00000000-0008-0000-0100-00003F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xdr:blipFill>
        <xdr:spPr>
          <a:xfrm>
            <a:off x="3063077" y="5169769"/>
            <a:ext cx="160473" cy="166402"/>
          </a:xfrm>
          <a:prstGeom prst="rect">
            <a:avLst/>
          </a:prstGeom>
        </xdr:spPr>
      </xdr:pic>
      <xdr:pic>
        <xdr:nvPicPr>
          <xdr:cNvPr id="66" name="Picture 65">
            <a:extLst>
              <a:ext uri="{FF2B5EF4-FFF2-40B4-BE49-F238E27FC236}">
                <a16:creationId xmlns:a16="http://schemas.microsoft.com/office/drawing/2014/main" id="{00000000-0008-0000-0100-000042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xdr:blipFill>
        <xdr:spPr>
          <a:xfrm>
            <a:off x="3062559" y="4964250"/>
            <a:ext cx="161509" cy="167477"/>
          </a:xfrm>
          <a:prstGeom prst="rect">
            <a:avLst/>
          </a:prstGeom>
        </xdr:spPr>
      </xdr:pic>
      <xdr:pic>
        <xdr:nvPicPr>
          <xdr:cNvPr id="71" name="Picture 70">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3063077" y="10253440"/>
            <a:ext cx="160473" cy="166402"/>
          </a:xfrm>
          <a:prstGeom prst="rect">
            <a:avLst/>
          </a:prstGeom>
        </xdr:spPr>
      </xdr:pic>
      <xdr:pic>
        <xdr:nvPicPr>
          <xdr:cNvPr id="73" name="Picture 72">
            <a:extLst>
              <a:ext uri="{FF2B5EF4-FFF2-40B4-BE49-F238E27FC236}">
                <a16:creationId xmlns:a16="http://schemas.microsoft.com/office/drawing/2014/main" id="{00000000-0008-0000-0100-000049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063077" y="10048996"/>
            <a:ext cx="160473" cy="166402"/>
          </a:xfrm>
          <a:prstGeom prst="rect">
            <a:avLst/>
          </a:prstGeom>
        </xdr:spPr>
      </xdr:pic>
      <xdr:pic>
        <xdr:nvPicPr>
          <xdr:cNvPr id="74" name="Picture 73">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063849" y="10660727"/>
            <a:ext cx="158928" cy="164800"/>
          </a:xfrm>
          <a:prstGeom prst="rect">
            <a:avLst/>
          </a:prstGeom>
        </xdr:spPr>
      </xdr:pic>
      <xdr:pic>
        <xdr:nvPicPr>
          <xdr:cNvPr id="75" name="Picture 74">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3063077" y="8629303"/>
            <a:ext cx="160473" cy="166402"/>
          </a:xfrm>
          <a:prstGeom prst="rect">
            <a:avLst/>
          </a:prstGeom>
        </xdr:spPr>
      </xdr:pic>
      <xdr:pic>
        <xdr:nvPicPr>
          <xdr:cNvPr id="81" name="Picture 80">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063849" y="9643311"/>
            <a:ext cx="158929" cy="164801"/>
          </a:xfrm>
          <a:prstGeom prst="rect">
            <a:avLst/>
          </a:prstGeom>
        </xdr:spPr>
      </xdr:pic>
      <xdr:pic>
        <xdr:nvPicPr>
          <xdr:cNvPr id="87" name="Picture 86">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xdr:blipFill>
        <xdr:spPr>
          <a:xfrm>
            <a:off x="3063849" y="9440469"/>
            <a:ext cx="158928" cy="164800"/>
          </a:xfrm>
          <a:prstGeom prst="rect">
            <a:avLst/>
          </a:prstGeom>
        </xdr:spPr>
      </xdr:pic>
      <xdr:pic>
        <xdr:nvPicPr>
          <xdr:cNvPr id="89" name="Picture 88">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xdr:blipFill>
        <xdr:spPr>
          <a:xfrm>
            <a:off x="3063077" y="10863569"/>
            <a:ext cx="160473" cy="166402"/>
          </a:xfrm>
          <a:prstGeom prst="rect">
            <a:avLst/>
          </a:prstGeom>
        </xdr:spPr>
      </xdr:pic>
      <xdr:pic>
        <xdr:nvPicPr>
          <xdr:cNvPr id="90" name="Picture 89">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063849" y="9034784"/>
            <a:ext cx="158929" cy="164801"/>
          </a:xfrm>
          <a:prstGeom prst="rect">
            <a:avLst/>
          </a:prstGeom>
        </xdr:spPr>
      </xdr:pic>
      <xdr:pic>
        <xdr:nvPicPr>
          <xdr:cNvPr id="91" name="Picture 90">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063849" y="9239267"/>
            <a:ext cx="158928" cy="161521"/>
          </a:xfrm>
          <a:prstGeom prst="rect">
            <a:avLst/>
          </a:prstGeom>
        </xdr:spPr>
      </xdr:pic>
      <xdr:pic>
        <xdr:nvPicPr>
          <xdr:cNvPr id="94" name="Picture 93">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063849" y="8019173"/>
            <a:ext cx="158929" cy="164801"/>
          </a:xfrm>
          <a:prstGeom prst="rect">
            <a:avLst/>
          </a:prstGeom>
        </xdr:spPr>
      </xdr:pic>
      <xdr:pic>
        <xdr:nvPicPr>
          <xdr:cNvPr id="96" name="Picture 95">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063077" y="8222015"/>
            <a:ext cx="160473" cy="166402"/>
          </a:xfrm>
          <a:prstGeom prst="rect">
            <a:avLst/>
          </a:prstGeom>
        </xdr:spPr>
      </xdr:pic>
      <xdr:pic>
        <xdr:nvPicPr>
          <xdr:cNvPr id="97" name="Picture 96">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063849" y="10457884"/>
            <a:ext cx="158929" cy="164801"/>
          </a:xfrm>
          <a:prstGeom prst="rect">
            <a:avLst/>
          </a:prstGeom>
        </xdr:spPr>
      </xdr:pic>
      <xdr:pic>
        <xdr:nvPicPr>
          <xdr:cNvPr id="98" name="Picture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xdr:blipFill>
        <xdr:spPr>
          <a:xfrm>
            <a:off x="3063849" y="9846154"/>
            <a:ext cx="158928" cy="164800"/>
          </a:xfrm>
          <a:prstGeom prst="rect">
            <a:avLst/>
          </a:prstGeom>
        </xdr:spPr>
      </xdr:pic>
      <xdr:pic>
        <xdr:nvPicPr>
          <xdr:cNvPr id="140" name="Picture 139">
            <a:extLst>
              <a:ext uri="{FF2B5EF4-FFF2-40B4-BE49-F238E27FC236}">
                <a16:creationId xmlns:a16="http://schemas.microsoft.com/office/drawing/2014/main" id="{00000000-0008-0000-0100-00008C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t="2448" b="2448"/>
          <a:stretch/>
        </xdr:blipFill>
        <xdr:spPr>
          <a:xfrm>
            <a:off x="3061018" y="4761407"/>
            <a:ext cx="167109" cy="164801"/>
          </a:xfrm>
          <a:prstGeom prst="rect">
            <a:avLst/>
          </a:prstGeom>
        </xdr:spPr>
      </xdr:pic>
      <xdr:pic>
        <xdr:nvPicPr>
          <xdr:cNvPr id="142" name="Picture 141">
            <a:extLst>
              <a:ext uri="{FF2B5EF4-FFF2-40B4-BE49-F238E27FC236}">
                <a16:creationId xmlns:a16="http://schemas.microsoft.com/office/drawing/2014/main" id="{00000000-0008-0000-0100-00008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063849" y="7206201"/>
            <a:ext cx="158929" cy="164801"/>
          </a:xfrm>
          <a:prstGeom prst="rect">
            <a:avLst/>
          </a:prstGeom>
        </xdr:spPr>
      </xdr:pic>
      <xdr:pic>
        <xdr:nvPicPr>
          <xdr:cNvPr id="144" name="Picture 143">
            <a:extLst>
              <a:ext uri="{FF2B5EF4-FFF2-40B4-BE49-F238E27FC236}">
                <a16:creationId xmlns:a16="http://schemas.microsoft.com/office/drawing/2014/main" id="{00000000-0008-0000-0100-000090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t="2448" b="2448"/>
          <a:stretch/>
        </xdr:blipFill>
        <xdr:spPr>
          <a:xfrm>
            <a:off x="3061018" y="8426460"/>
            <a:ext cx="167109" cy="164801"/>
          </a:xfrm>
          <a:prstGeom prst="rect">
            <a:avLst/>
          </a:prstGeom>
        </xdr:spPr>
      </xdr:pic>
      <xdr:pic>
        <xdr:nvPicPr>
          <xdr:cNvPr id="147" name="Picture 146">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063843" y="11068027"/>
            <a:ext cx="158941" cy="164814"/>
          </a:xfrm>
          <a:prstGeom prst="rect">
            <a:avLst/>
          </a:prstGeom>
        </xdr:spPr>
      </xdr:pic>
      <xdr:pic>
        <xdr:nvPicPr>
          <xdr:cNvPr id="150" name="Picture 149">
            <a:extLst>
              <a:ext uri="{FF2B5EF4-FFF2-40B4-BE49-F238E27FC236}">
                <a16:creationId xmlns:a16="http://schemas.microsoft.com/office/drawing/2014/main" id="{00000000-0008-0000-0100-000096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xdr:blipFill>
        <xdr:spPr>
          <a:xfrm>
            <a:off x="3065874" y="8833747"/>
            <a:ext cx="157187" cy="162995"/>
          </a:xfrm>
          <a:prstGeom prst="rect">
            <a:avLst/>
          </a:prstGeom>
        </xdr:spPr>
      </xdr:pic>
    </xdr:grpSp>
    <xdr:clientData/>
  </xdr:twoCellAnchor>
  <mc:AlternateContent xmlns:mc="http://schemas.openxmlformats.org/markup-compatibility/2006">
    <mc:Choice xmlns:a14="http://schemas.microsoft.com/office/drawing/2010/main" Requires="a14">
      <xdr:twoCellAnchor>
        <xdr:from>
          <xdr:col>1</xdr:col>
          <xdr:colOff>234244</xdr:colOff>
          <xdr:row>54</xdr:row>
          <xdr:rowOff>14112</xdr:rowOff>
        </xdr:from>
        <xdr:to>
          <xdr:col>2</xdr:col>
          <xdr:colOff>233863</xdr:colOff>
          <xdr:row>84</xdr:row>
          <xdr:rowOff>7338</xdr:rowOff>
        </xdr:to>
        <xdr:grpSp>
          <xdr:nvGrpSpPr>
            <xdr:cNvPr id="35" name="Group 34">
              <a:extLst>
                <a:ext uri="{FF2B5EF4-FFF2-40B4-BE49-F238E27FC236}">
                  <a16:creationId xmlns:a16="http://schemas.microsoft.com/office/drawing/2014/main" id="{00000000-0008-0000-0100-000023000000}"/>
                </a:ext>
              </a:extLst>
            </xdr:cNvPr>
            <xdr:cNvGrpSpPr/>
          </xdr:nvGrpSpPr>
          <xdr:grpSpPr>
            <a:xfrm>
              <a:off x="338153" y="8967612"/>
              <a:ext cx="242074" cy="6747317"/>
              <a:chOff x="374650" y="11226800"/>
              <a:chExt cx="234950" cy="5524500"/>
            </a:xfrm>
          </xdr:grpSpPr>
          <xdr:grpSp>
            <xdr:nvGrpSpPr>
              <xdr:cNvPr id="2" name="Group 1">
                <a:extLst>
                  <a:ext uri="{FF2B5EF4-FFF2-40B4-BE49-F238E27FC236}">
                    <a16:creationId xmlns:a16="http://schemas.microsoft.com/office/drawing/2014/main" id="{00000000-0008-0000-0100-000002000000}"/>
                  </a:ext>
                </a:extLst>
              </xdr:cNvPr>
              <xdr:cNvGrpSpPr/>
            </xdr:nvGrpSpPr>
            <xdr:grpSpPr>
              <a:xfrm>
                <a:off x="374650" y="11226800"/>
                <a:ext cx="234950" cy="368300"/>
                <a:chOff x="393700" y="11226800"/>
                <a:chExt cx="234950" cy="368300"/>
              </a:xfrm>
            </xdr:grpSpPr>
            <xdr:pic>
              <xdr:nvPicPr>
                <xdr:cNvPr id="101" name="Picture 100">
                  <a:extLst>
                    <a:ext uri="{FF2B5EF4-FFF2-40B4-BE49-F238E27FC236}">
                      <a16:creationId xmlns:a16="http://schemas.microsoft.com/office/drawing/2014/main" id="{00000000-0008-0000-0100-000065000000}"/>
                    </a:ext>
                  </a:extLst>
                </xdr:cNvPr>
                <xdr:cNvPicPr>
                  <a:picLocks noChangeAspect="1" noChangeArrowheads="1"/>
                  <a:extLst>
                    <a:ext uri="{84589F7E-364E-4C9E-8A38-B11213B215E9}">
                      <a14:cameraTool cellRange="Flag1" spid="_x0000_s13609"/>
                    </a:ext>
                  </a:extLst>
                </xdr:cNvPicPr>
              </xdr:nvPicPr>
              <xdr:blipFill>
                <a:blip xmlns:r="http://schemas.openxmlformats.org/officeDocument/2006/relationships" r:embed="rId45"/>
                <a:srcRect/>
                <a:stretch>
                  <a:fillRect/>
                </a:stretch>
              </xdr:blipFill>
              <xdr:spPr bwMode="auto">
                <a:xfrm>
                  <a:off x="393700" y="11226800"/>
                  <a:ext cx="234950" cy="190500"/>
                </a:xfrm>
                <a:prstGeom prst="rect">
                  <a:avLst/>
                </a:prstGeom>
                <a:noFill/>
                <a:extLst>
                  <a:ext uri="{909E8E84-426E-40DD-AFC4-6F175D3DCCD1}">
                    <a14:hiddenFill>
                      <a:solidFill>
                        <a:srgbClr val="FFFFFF"/>
                      </a:solidFill>
                    </a14:hiddenFill>
                  </a:ext>
                </a:extLst>
              </xdr:spPr>
            </xdr:pic>
            <xdr:pic>
              <xdr:nvPicPr>
                <xdr:cNvPr id="102" name="Picture 101">
                  <a:extLst>
                    <a:ext uri="{FF2B5EF4-FFF2-40B4-BE49-F238E27FC236}">
                      <a16:creationId xmlns:a16="http://schemas.microsoft.com/office/drawing/2014/main" id="{00000000-0008-0000-0100-000066000000}"/>
                    </a:ext>
                  </a:extLst>
                </xdr:cNvPr>
                <xdr:cNvPicPr>
                  <a:picLocks noChangeAspect="1" noChangeArrowheads="1"/>
                  <a:extLst>
                    <a:ext uri="{84589F7E-364E-4C9E-8A38-B11213B215E9}">
                      <a14:cameraTool cellRange="Flag2" spid="_x0000_s13610"/>
                    </a:ext>
                  </a:extLst>
                </xdr:cNvPicPr>
              </xdr:nvPicPr>
              <xdr:blipFill>
                <a:blip xmlns:r="http://schemas.openxmlformats.org/officeDocument/2006/relationships" r:embed="rId45"/>
                <a:srcRect/>
                <a:stretch>
                  <a:fillRect/>
                </a:stretch>
              </xdr:blipFill>
              <xdr:spPr bwMode="auto">
                <a:xfrm>
                  <a:off x="393700" y="11404600"/>
                  <a:ext cx="234950" cy="190500"/>
                </a:xfrm>
                <a:prstGeom prst="rect">
                  <a:avLst/>
                </a:prstGeom>
                <a:noFill/>
                <a:extLst>
                  <a:ext uri="{909E8E84-426E-40DD-AFC4-6F175D3DCCD1}">
                    <a14:hiddenFill>
                      <a:solidFill>
                        <a:srgbClr val="FFFFFF"/>
                      </a:solidFill>
                    </a14:hiddenFill>
                  </a:ext>
                </a:extLst>
              </xdr:spPr>
            </xdr:pic>
          </xdr:grpSp>
          <xdr:grpSp>
            <xdr:nvGrpSpPr>
              <xdr:cNvPr id="104" name="Group 103">
                <a:extLst>
                  <a:ext uri="{FF2B5EF4-FFF2-40B4-BE49-F238E27FC236}">
                    <a16:creationId xmlns:a16="http://schemas.microsoft.com/office/drawing/2014/main" id="{00000000-0008-0000-0100-000068000000}"/>
                  </a:ext>
                </a:extLst>
              </xdr:cNvPr>
              <xdr:cNvGrpSpPr/>
            </xdr:nvGrpSpPr>
            <xdr:grpSpPr>
              <a:xfrm>
                <a:off x="374650" y="11963400"/>
                <a:ext cx="234950" cy="368300"/>
                <a:chOff x="393700" y="11226800"/>
                <a:chExt cx="234950" cy="368300"/>
              </a:xfrm>
            </xdr:grpSpPr>
            <xdr:pic>
              <xdr:nvPicPr>
                <xdr:cNvPr id="105" name="Picture 104">
                  <a:extLst>
                    <a:ext uri="{FF2B5EF4-FFF2-40B4-BE49-F238E27FC236}">
                      <a16:creationId xmlns:a16="http://schemas.microsoft.com/office/drawing/2014/main" id="{00000000-0008-0000-0100-000069000000}"/>
                    </a:ext>
                  </a:extLst>
                </xdr:cNvPr>
                <xdr:cNvPicPr>
                  <a:picLocks noChangeAspect="1" noChangeArrowheads="1"/>
                  <a:extLst>
                    <a:ext uri="{84589F7E-364E-4C9E-8A38-B11213B215E9}">
                      <a14:cameraTool cellRange="Flag3" spid="_x0000_s13611"/>
                    </a:ext>
                  </a:extLst>
                </xdr:cNvPicPr>
              </xdr:nvPicPr>
              <xdr:blipFill>
                <a:blip xmlns:r="http://schemas.openxmlformats.org/officeDocument/2006/relationships" r:embed="rId45"/>
                <a:srcRect/>
                <a:stretch>
                  <a:fillRect/>
                </a:stretch>
              </xdr:blipFill>
              <xdr:spPr bwMode="auto">
                <a:xfrm>
                  <a:off x="393700" y="11226800"/>
                  <a:ext cx="234950" cy="190500"/>
                </a:xfrm>
                <a:prstGeom prst="rect">
                  <a:avLst/>
                </a:prstGeom>
                <a:noFill/>
                <a:extLst>
                  <a:ext uri="{909E8E84-426E-40DD-AFC4-6F175D3DCCD1}">
                    <a14:hiddenFill>
                      <a:solidFill>
                        <a:srgbClr val="FFFFFF"/>
                      </a:solidFill>
                    </a14:hiddenFill>
                  </a:ext>
                </a:extLst>
              </xdr:spPr>
            </xdr:pic>
            <xdr:pic>
              <xdr:nvPicPr>
                <xdr:cNvPr id="106" name="Picture 105">
                  <a:extLst>
                    <a:ext uri="{FF2B5EF4-FFF2-40B4-BE49-F238E27FC236}">
                      <a16:creationId xmlns:a16="http://schemas.microsoft.com/office/drawing/2014/main" id="{00000000-0008-0000-0100-00006A000000}"/>
                    </a:ext>
                  </a:extLst>
                </xdr:cNvPr>
                <xdr:cNvPicPr>
                  <a:picLocks noChangeAspect="1" noChangeArrowheads="1"/>
                  <a:extLst>
                    <a:ext uri="{84589F7E-364E-4C9E-8A38-B11213B215E9}">
                      <a14:cameraTool cellRange="Flag4" spid="_x0000_s13612"/>
                    </a:ext>
                  </a:extLst>
                </xdr:cNvPicPr>
              </xdr:nvPicPr>
              <xdr:blipFill>
                <a:blip xmlns:r="http://schemas.openxmlformats.org/officeDocument/2006/relationships" r:embed="rId45"/>
                <a:srcRect/>
                <a:stretch>
                  <a:fillRect/>
                </a:stretch>
              </xdr:blipFill>
              <xdr:spPr bwMode="auto">
                <a:xfrm>
                  <a:off x="393700" y="11404600"/>
                  <a:ext cx="234950" cy="190500"/>
                </a:xfrm>
                <a:prstGeom prst="rect">
                  <a:avLst/>
                </a:prstGeom>
                <a:noFill/>
                <a:extLst>
                  <a:ext uri="{909E8E84-426E-40DD-AFC4-6F175D3DCCD1}">
                    <a14:hiddenFill>
                      <a:solidFill>
                        <a:srgbClr val="FFFFFF"/>
                      </a:solidFill>
                    </a14:hiddenFill>
                  </a:ext>
                </a:extLst>
              </xdr:spPr>
            </xdr:pic>
          </xdr:grpSp>
          <xdr:grpSp>
            <xdr:nvGrpSpPr>
              <xdr:cNvPr id="107" name="Group 106">
                <a:extLst>
                  <a:ext uri="{FF2B5EF4-FFF2-40B4-BE49-F238E27FC236}">
                    <a16:creationId xmlns:a16="http://schemas.microsoft.com/office/drawing/2014/main" id="{00000000-0008-0000-0100-00006B000000}"/>
                  </a:ext>
                </a:extLst>
              </xdr:cNvPr>
              <xdr:cNvGrpSpPr/>
            </xdr:nvGrpSpPr>
            <xdr:grpSpPr>
              <a:xfrm>
                <a:off x="374650" y="12700000"/>
                <a:ext cx="234950" cy="368300"/>
                <a:chOff x="393700" y="11226800"/>
                <a:chExt cx="234950" cy="368300"/>
              </a:xfrm>
            </xdr:grpSpPr>
            <xdr:pic>
              <xdr:nvPicPr>
                <xdr:cNvPr id="108" name="Picture 107">
                  <a:extLst>
                    <a:ext uri="{FF2B5EF4-FFF2-40B4-BE49-F238E27FC236}">
                      <a16:creationId xmlns:a16="http://schemas.microsoft.com/office/drawing/2014/main" id="{00000000-0008-0000-0100-00006C000000}"/>
                    </a:ext>
                  </a:extLst>
                </xdr:cNvPr>
                <xdr:cNvPicPr>
                  <a:picLocks noChangeAspect="1" noChangeArrowheads="1"/>
                  <a:extLst>
                    <a:ext uri="{84589F7E-364E-4C9E-8A38-B11213B215E9}">
                      <a14:cameraTool cellRange="Flag5" spid="_x0000_s13613"/>
                    </a:ext>
                  </a:extLst>
                </xdr:cNvPicPr>
              </xdr:nvPicPr>
              <xdr:blipFill>
                <a:blip xmlns:r="http://schemas.openxmlformats.org/officeDocument/2006/relationships" r:embed="rId45"/>
                <a:srcRect/>
                <a:stretch>
                  <a:fillRect/>
                </a:stretch>
              </xdr:blipFill>
              <xdr:spPr bwMode="auto">
                <a:xfrm>
                  <a:off x="393700" y="11226800"/>
                  <a:ext cx="234950" cy="190500"/>
                </a:xfrm>
                <a:prstGeom prst="rect">
                  <a:avLst/>
                </a:prstGeom>
                <a:noFill/>
                <a:extLst>
                  <a:ext uri="{909E8E84-426E-40DD-AFC4-6F175D3DCCD1}">
                    <a14:hiddenFill>
                      <a:solidFill>
                        <a:srgbClr val="FFFFFF"/>
                      </a:solidFill>
                    </a14:hiddenFill>
                  </a:ext>
                </a:extLst>
              </xdr:spPr>
            </xdr:pic>
            <xdr:pic>
              <xdr:nvPicPr>
                <xdr:cNvPr id="109" name="Picture 108">
                  <a:extLst>
                    <a:ext uri="{FF2B5EF4-FFF2-40B4-BE49-F238E27FC236}">
                      <a16:creationId xmlns:a16="http://schemas.microsoft.com/office/drawing/2014/main" id="{00000000-0008-0000-0100-00006D000000}"/>
                    </a:ext>
                  </a:extLst>
                </xdr:cNvPr>
                <xdr:cNvPicPr>
                  <a:picLocks noChangeAspect="1" noChangeArrowheads="1"/>
                  <a:extLst>
                    <a:ext uri="{84589F7E-364E-4C9E-8A38-B11213B215E9}">
                      <a14:cameraTool cellRange="Flag6" spid="_x0000_s13614"/>
                    </a:ext>
                  </a:extLst>
                </xdr:cNvPicPr>
              </xdr:nvPicPr>
              <xdr:blipFill>
                <a:blip xmlns:r="http://schemas.openxmlformats.org/officeDocument/2006/relationships" r:embed="rId45"/>
                <a:srcRect/>
                <a:stretch>
                  <a:fillRect/>
                </a:stretch>
              </xdr:blipFill>
              <xdr:spPr bwMode="auto">
                <a:xfrm>
                  <a:off x="393700" y="11404600"/>
                  <a:ext cx="234950" cy="190500"/>
                </a:xfrm>
                <a:prstGeom prst="rect">
                  <a:avLst/>
                </a:prstGeom>
                <a:noFill/>
                <a:extLst>
                  <a:ext uri="{909E8E84-426E-40DD-AFC4-6F175D3DCCD1}">
                    <a14:hiddenFill>
                      <a:solidFill>
                        <a:srgbClr val="FFFFFF"/>
                      </a:solidFill>
                    </a14:hiddenFill>
                  </a:ext>
                </a:extLst>
              </xdr:spPr>
            </xdr:pic>
          </xdr:grpSp>
          <xdr:grpSp>
            <xdr:nvGrpSpPr>
              <xdr:cNvPr id="110" name="Group 109">
                <a:extLst>
                  <a:ext uri="{FF2B5EF4-FFF2-40B4-BE49-F238E27FC236}">
                    <a16:creationId xmlns:a16="http://schemas.microsoft.com/office/drawing/2014/main" id="{00000000-0008-0000-0100-00006E000000}"/>
                  </a:ext>
                </a:extLst>
              </xdr:cNvPr>
              <xdr:cNvGrpSpPr/>
            </xdr:nvGrpSpPr>
            <xdr:grpSpPr>
              <a:xfrm>
                <a:off x="374650" y="13436600"/>
                <a:ext cx="234950" cy="368300"/>
                <a:chOff x="393700" y="11226800"/>
                <a:chExt cx="234950" cy="368300"/>
              </a:xfrm>
            </xdr:grpSpPr>
            <xdr:pic>
              <xdr:nvPicPr>
                <xdr:cNvPr id="111" name="Picture 110">
                  <a:extLst>
                    <a:ext uri="{FF2B5EF4-FFF2-40B4-BE49-F238E27FC236}">
                      <a16:creationId xmlns:a16="http://schemas.microsoft.com/office/drawing/2014/main" id="{00000000-0008-0000-0100-00006F000000}"/>
                    </a:ext>
                  </a:extLst>
                </xdr:cNvPr>
                <xdr:cNvPicPr>
                  <a:picLocks noChangeAspect="1" noChangeArrowheads="1"/>
                  <a:extLst>
                    <a:ext uri="{84589F7E-364E-4C9E-8A38-B11213B215E9}">
                      <a14:cameraTool cellRange="Flag7" spid="_x0000_s13615"/>
                    </a:ext>
                  </a:extLst>
                </xdr:cNvPicPr>
              </xdr:nvPicPr>
              <xdr:blipFill>
                <a:blip xmlns:r="http://schemas.openxmlformats.org/officeDocument/2006/relationships" r:embed="rId45"/>
                <a:srcRect/>
                <a:stretch>
                  <a:fillRect/>
                </a:stretch>
              </xdr:blipFill>
              <xdr:spPr bwMode="auto">
                <a:xfrm>
                  <a:off x="393700" y="11226800"/>
                  <a:ext cx="234950" cy="190500"/>
                </a:xfrm>
                <a:prstGeom prst="rect">
                  <a:avLst/>
                </a:prstGeom>
                <a:noFill/>
                <a:extLst>
                  <a:ext uri="{909E8E84-426E-40DD-AFC4-6F175D3DCCD1}">
                    <a14:hiddenFill>
                      <a:solidFill>
                        <a:srgbClr val="FFFFFF"/>
                      </a:solidFill>
                    </a14:hiddenFill>
                  </a:ext>
                </a:extLst>
              </xdr:spPr>
            </xdr:pic>
            <xdr:pic>
              <xdr:nvPicPr>
                <xdr:cNvPr id="112" name="Picture 111">
                  <a:extLst>
                    <a:ext uri="{FF2B5EF4-FFF2-40B4-BE49-F238E27FC236}">
                      <a16:creationId xmlns:a16="http://schemas.microsoft.com/office/drawing/2014/main" id="{00000000-0008-0000-0100-000070000000}"/>
                    </a:ext>
                  </a:extLst>
                </xdr:cNvPr>
                <xdr:cNvPicPr>
                  <a:picLocks noChangeAspect="1" noChangeArrowheads="1"/>
                  <a:extLst>
                    <a:ext uri="{84589F7E-364E-4C9E-8A38-B11213B215E9}">
                      <a14:cameraTool cellRange="Flag8" spid="_x0000_s13616"/>
                    </a:ext>
                  </a:extLst>
                </xdr:cNvPicPr>
              </xdr:nvPicPr>
              <xdr:blipFill>
                <a:blip xmlns:r="http://schemas.openxmlformats.org/officeDocument/2006/relationships" r:embed="rId45"/>
                <a:srcRect/>
                <a:stretch>
                  <a:fillRect/>
                </a:stretch>
              </xdr:blipFill>
              <xdr:spPr bwMode="auto">
                <a:xfrm>
                  <a:off x="393700" y="11404600"/>
                  <a:ext cx="234950" cy="190500"/>
                </a:xfrm>
                <a:prstGeom prst="rect">
                  <a:avLst/>
                </a:prstGeom>
                <a:noFill/>
                <a:extLst>
                  <a:ext uri="{909E8E84-426E-40DD-AFC4-6F175D3DCCD1}">
                    <a14:hiddenFill>
                      <a:solidFill>
                        <a:srgbClr val="FFFFFF"/>
                      </a:solidFill>
                    </a14:hiddenFill>
                  </a:ext>
                </a:extLst>
              </xdr:spPr>
            </xdr:pic>
          </xdr:grpSp>
          <xdr:grpSp>
            <xdr:nvGrpSpPr>
              <xdr:cNvPr id="113" name="Group 112">
                <a:extLst>
                  <a:ext uri="{FF2B5EF4-FFF2-40B4-BE49-F238E27FC236}">
                    <a16:creationId xmlns:a16="http://schemas.microsoft.com/office/drawing/2014/main" id="{00000000-0008-0000-0100-000071000000}"/>
                  </a:ext>
                </a:extLst>
              </xdr:cNvPr>
              <xdr:cNvGrpSpPr/>
            </xdr:nvGrpSpPr>
            <xdr:grpSpPr>
              <a:xfrm>
                <a:off x="374650" y="14173200"/>
                <a:ext cx="234950" cy="368300"/>
                <a:chOff x="393700" y="11226800"/>
                <a:chExt cx="234950" cy="368300"/>
              </a:xfrm>
            </xdr:grpSpPr>
            <xdr:pic>
              <xdr:nvPicPr>
                <xdr:cNvPr id="114" name="Picture 113">
                  <a:extLst>
                    <a:ext uri="{FF2B5EF4-FFF2-40B4-BE49-F238E27FC236}">
                      <a16:creationId xmlns:a16="http://schemas.microsoft.com/office/drawing/2014/main" id="{00000000-0008-0000-0100-000072000000}"/>
                    </a:ext>
                  </a:extLst>
                </xdr:cNvPr>
                <xdr:cNvPicPr>
                  <a:picLocks noChangeAspect="1" noChangeArrowheads="1"/>
                  <a:extLst>
                    <a:ext uri="{84589F7E-364E-4C9E-8A38-B11213B215E9}">
                      <a14:cameraTool cellRange="Flag9" spid="_x0000_s13617"/>
                    </a:ext>
                  </a:extLst>
                </xdr:cNvPicPr>
              </xdr:nvPicPr>
              <xdr:blipFill>
                <a:blip xmlns:r="http://schemas.openxmlformats.org/officeDocument/2006/relationships" r:embed="rId45"/>
                <a:srcRect/>
                <a:stretch>
                  <a:fillRect/>
                </a:stretch>
              </xdr:blipFill>
              <xdr:spPr bwMode="auto">
                <a:xfrm>
                  <a:off x="393700" y="11226800"/>
                  <a:ext cx="234950" cy="190500"/>
                </a:xfrm>
                <a:prstGeom prst="rect">
                  <a:avLst/>
                </a:prstGeom>
                <a:noFill/>
                <a:extLst>
                  <a:ext uri="{909E8E84-426E-40DD-AFC4-6F175D3DCCD1}">
                    <a14:hiddenFill>
                      <a:solidFill>
                        <a:srgbClr val="FFFFFF"/>
                      </a:solidFill>
                    </a14:hiddenFill>
                  </a:ext>
                </a:extLst>
              </xdr:spPr>
            </xdr:pic>
            <xdr:pic>
              <xdr:nvPicPr>
                <xdr:cNvPr id="115" name="Picture 114">
                  <a:extLst>
                    <a:ext uri="{FF2B5EF4-FFF2-40B4-BE49-F238E27FC236}">
                      <a16:creationId xmlns:a16="http://schemas.microsoft.com/office/drawing/2014/main" id="{00000000-0008-0000-0100-000073000000}"/>
                    </a:ext>
                  </a:extLst>
                </xdr:cNvPr>
                <xdr:cNvPicPr>
                  <a:picLocks noChangeAspect="1" noChangeArrowheads="1"/>
                  <a:extLst>
                    <a:ext uri="{84589F7E-364E-4C9E-8A38-B11213B215E9}">
                      <a14:cameraTool cellRange="Flag10" spid="_x0000_s13618"/>
                    </a:ext>
                  </a:extLst>
                </xdr:cNvPicPr>
              </xdr:nvPicPr>
              <xdr:blipFill>
                <a:blip xmlns:r="http://schemas.openxmlformats.org/officeDocument/2006/relationships" r:embed="rId45"/>
                <a:srcRect/>
                <a:stretch>
                  <a:fillRect/>
                </a:stretch>
              </xdr:blipFill>
              <xdr:spPr bwMode="auto">
                <a:xfrm>
                  <a:off x="393700" y="11404600"/>
                  <a:ext cx="234950" cy="190500"/>
                </a:xfrm>
                <a:prstGeom prst="rect">
                  <a:avLst/>
                </a:prstGeom>
                <a:noFill/>
                <a:extLst>
                  <a:ext uri="{909E8E84-426E-40DD-AFC4-6F175D3DCCD1}">
                    <a14:hiddenFill>
                      <a:solidFill>
                        <a:srgbClr val="FFFFFF"/>
                      </a:solidFill>
                    </a14:hiddenFill>
                  </a:ext>
                </a:extLst>
              </xdr:spPr>
            </xdr:pic>
          </xdr:grpSp>
          <xdr:grpSp>
            <xdr:nvGrpSpPr>
              <xdr:cNvPr id="116" name="Group 115">
                <a:extLst>
                  <a:ext uri="{FF2B5EF4-FFF2-40B4-BE49-F238E27FC236}">
                    <a16:creationId xmlns:a16="http://schemas.microsoft.com/office/drawing/2014/main" id="{00000000-0008-0000-0100-000074000000}"/>
                  </a:ext>
                </a:extLst>
              </xdr:cNvPr>
              <xdr:cNvGrpSpPr/>
            </xdr:nvGrpSpPr>
            <xdr:grpSpPr>
              <a:xfrm>
                <a:off x="374650" y="14909800"/>
                <a:ext cx="234950" cy="368300"/>
                <a:chOff x="393700" y="11226800"/>
                <a:chExt cx="234950" cy="368300"/>
              </a:xfrm>
            </xdr:grpSpPr>
            <xdr:pic>
              <xdr:nvPicPr>
                <xdr:cNvPr id="117" name="Picture 116">
                  <a:extLst>
                    <a:ext uri="{FF2B5EF4-FFF2-40B4-BE49-F238E27FC236}">
                      <a16:creationId xmlns:a16="http://schemas.microsoft.com/office/drawing/2014/main" id="{00000000-0008-0000-0100-000075000000}"/>
                    </a:ext>
                  </a:extLst>
                </xdr:cNvPr>
                <xdr:cNvPicPr>
                  <a:picLocks noChangeAspect="1" noChangeArrowheads="1"/>
                  <a:extLst>
                    <a:ext uri="{84589F7E-364E-4C9E-8A38-B11213B215E9}">
                      <a14:cameraTool cellRange="Flag11" spid="_x0000_s13619"/>
                    </a:ext>
                  </a:extLst>
                </xdr:cNvPicPr>
              </xdr:nvPicPr>
              <xdr:blipFill>
                <a:blip xmlns:r="http://schemas.openxmlformats.org/officeDocument/2006/relationships" r:embed="rId45"/>
                <a:srcRect/>
                <a:stretch>
                  <a:fillRect/>
                </a:stretch>
              </xdr:blipFill>
              <xdr:spPr bwMode="auto">
                <a:xfrm>
                  <a:off x="393700" y="11226800"/>
                  <a:ext cx="234950" cy="190500"/>
                </a:xfrm>
                <a:prstGeom prst="rect">
                  <a:avLst/>
                </a:prstGeom>
                <a:noFill/>
                <a:extLst>
                  <a:ext uri="{909E8E84-426E-40DD-AFC4-6F175D3DCCD1}">
                    <a14:hiddenFill>
                      <a:solidFill>
                        <a:srgbClr val="FFFFFF"/>
                      </a:solidFill>
                    </a14:hiddenFill>
                  </a:ext>
                </a:extLst>
              </xdr:spPr>
            </xdr:pic>
            <xdr:pic>
              <xdr:nvPicPr>
                <xdr:cNvPr id="118" name="Picture 117">
                  <a:extLst>
                    <a:ext uri="{FF2B5EF4-FFF2-40B4-BE49-F238E27FC236}">
                      <a16:creationId xmlns:a16="http://schemas.microsoft.com/office/drawing/2014/main" id="{00000000-0008-0000-0100-000076000000}"/>
                    </a:ext>
                  </a:extLst>
                </xdr:cNvPr>
                <xdr:cNvPicPr>
                  <a:picLocks noChangeAspect="1" noChangeArrowheads="1"/>
                  <a:extLst>
                    <a:ext uri="{84589F7E-364E-4C9E-8A38-B11213B215E9}">
                      <a14:cameraTool cellRange="Flag12" spid="_x0000_s13620"/>
                    </a:ext>
                  </a:extLst>
                </xdr:cNvPicPr>
              </xdr:nvPicPr>
              <xdr:blipFill>
                <a:blip xmlns:r="http://schemas.openxmlformats.org/officeDocument/2006/relationships" r:embed="rId45"/>
                <a:srcRect/>
                <a:stretch>
                  <a:fillRect/>
                </a:stretch>
              </xdr:blipFill>
              <xdr:spPr bwMode="auto">
                <a:xfrm>
                  <a:off x="393700" y="11404600"/>
                  <a:ext cx="234950" cy="190500"/>
                </a:xfrm>
                <a:prstGeom prst="rect">
                  <a:avLst/>
                </a:prstGeom>
                <a:noFill/>
                <a:extLst>
                  <a:ext uri="{909E8E84-426E-40DD-AFC4-6F175D3DCCD1}">
                    <a14:hiddenFill>
                      <a:solidFill>
                        <a:srgbClr val="FFFFFF"/>
                      </a:solidFill>
                    </a14:hiddenFill>
                  </a:ext>
                </a:extLst>
              </xdr:spPr>
            </xdr:pic>
          </xdr:grpSp>
          <xdr:grpSp>
            <xdr:nvGrpSpPr>
              <xdr:cNvPr id="119" name="Group 118">
                <a:extLst>
                  <a:ext uri="{FF2B5EF4-FFF2-40B4-BE49-F238E27FC236}">
                    <a16:creationId xmlns:a16="http://schemas.microsoft.com/office/drawing/2014/main" id="{00000000-0008-0000-0100-000077000000}"/>
                  </a:ext>
                </a:extLst>
              </xdr:cNvPr>
              <xdr:cNvGrpSpPr/>
            </xdr:nvGrpSpPr>
            <xdr:grpSpPr>
              <a:xfrm>
                <a:off x="374650" y="15646400"/>
                <a:ext cx="234950" cy="368300"/>
                <a:chOff x="393700" y="11226800"/>
                <a:chExt cx="234950" cy="368300"/>
              </a:xfrm>
            </xdr:grpSpPr>
            <xdr:pic>
              <xdr:nvPicPr>
                <xdr:cNvPr id="120" name="Picture 119">
                  <a:extLst>
                    <a:ext uri="{FF2B5EF4-FFF2-40B4-BE49-F238E27FC236}">
                      <a16:creationId xmlns:a16="http://schemas.microsoft.com/office/drawing/2014/main" id="{00000000-0008-0000-0100-000078000000}"/>
                    </a:ext>
                  </a:extLst>
                </xdr:cNvPr>
                <xdr:cNvPicPr>
                  <a:picLocks noChangeAspect="1" noChangeArrowheads="1"/>
                  <a:extLst>
                    <a:ext uri="{84589F7E-364E-4C9E-8A38-B11213B215E9}">
                      <a14:cameraTool cellRange="Flag13" spid="_x0000_s13621"/>
                    </a:ext>
                  </a:extLst>
                </xdr:cNvPicPr>
              </xdr:nvPicPr>
              <xdr:blipFill>
                <a:blip xmlns:r="http://schemas.openxmlformats.org/officeDocument/2006/relationships" r:embed="rId45"/>
                <a:srcRect/>
                <a:stretch>
                  <a:fillRect/>
                </a:stretch>
              </xdr:blipFill>
              <xdr:spPr bwMode="auto">
                <a:xfrm>
                  <a:off x="393700" y="11226800"/>
                  <a:ext cx="234950" cy="190500"/>
                </a:xfrm>
                <a:prstGeom prst="rect">
                  <a:avLst/>
                </a:prstGeom>
                <a:noFill/>
                <a:extLst>
                  <a:ext uri="{909E8E84-426E-40DD-AFC4-6F175D3DCCD1}">
                    <a14:hiddenFill>
                      <a:solidFill>
                        <a:srgbClr val="FFFFFF"/>
                      </a:solidFill>
                    </a14:hiddenFill>
                  </a:ext>
                </a:extLst>
              </xdr:spPr>
            </xdr:pic>
            <xdr:pic>
              <xdr:nvPicPr>
                <xdr:cNvPr id="121" name="Picture 120">
                  <a:extLst>
                    <a:ext uri="{FF2B5EF4-FFF2-40B4-BE49-F238E27FC236}">
                      <a16:creationId xmlns:a16="http://schemas.microsoft.com/office/drawing/2014/main" id="{00000000-0008-0000-0100-000079000000}"/>
                    </a:ext>
                  </a:extLst>
                </xdr:cNvPr>
                <xdr:cNvPicPr>
                  <a:picLocks noChangeAspect="1" noChangeArrowheads="1"/>
                  <a:extLst>
                    <a:ext uri="{84589F7E-364E-4C9E-8A38-B11213B215E9}">
                      <a14:cameraTool cellRange="Flag14" spid="_x0000_s13622"/>
                    </a:ext>
                  </a:extLst>
                </xdr:cNvPicPr>
              </xdr:nvPicPr>
              <xdr:blipFill>
                <a:blip xmlns:r="http://schemas.openxmlformats.org/officeDocument/2006/relationships" r:embed="rId45"/>
                <a:srcRect/>
                <a:stretch>
                  <a:fillRect/>
                </a:stretch>
              </xdr:blipFill>
              <xdr:spPr bwMode="auto">
                <a:xfrm>
                  <a:off x="393700" y="11404600"/>
                  <a:ext cx="234950" cy="190500"/>
                </a:xfrm>
                <a:prstGeom prst="rect">
                  <a:avLst/>
                </a:prstGeom>
                <a:noFill/>
                <a:extLst>
                  <a:ext uri="{909E8E84-426E-40DD-AFC4-6F175D3DCCD1}">
                    <a14:hiddenFill>
                      <a:solidFill>
                        <a:srgbClr val="FFFFFF"/>
                      </a:solidFill>
                    </a14:hiddenFill>
                  </a:ext>
                </a:extLst>
              </xdr:spPr>
            </xdr:pic>
          </xdr:grpSp>
          <xdr:grpSp>
            <xdr:nvGrpSpPr>
              <xdr:cNvPr id="122" name="Group 121">
                <a:extLst>
                  <a:ext uri="{FF2B5EF4-FFF2-40B4-BE49-F238E27FC236}">
                    <a16:creationId xmlns:a16="http://schemas.microsoft.com/office/drawing/2014/main" id="{00000000-0008-0000-0100-00007A000000}"/>
                  </a:ext>
                </a:extLst>
              </xdr:cNvPr>
              <xdr:cNvGrpSpPr/>
            </xdr:nvGrpSpPr>
            <xdr:grpSpPr>
              <a:xfrm>
                <a:off x="374650" y="16383000"/>
                <a:ext cx="234950" cy="368300"/>
                <a:chOff x="393700" y="11226800"/>
                <a:chExt cx="234950" cy="368300"/>
              </a:xfrm>
            </xdr:grpSpPr>
            <xdr:pic>
              <xdr:nvPicPr>
                <xdr:cNvPr id="123" name="Picture 122">
                  <a:extLst>
                    <a:ext uri="{FF2B5EF4-FFF2-40B4-BE49-F238E27FC236}">
                      <a16:creationId xmlns:a16="http://schemas.microsoft.com/office/drawing/2014/main" id="{00000000-0008-0000-0100-00007B000000}"/>
                    </a:ext>
                  </a:extLst>
                </xdr:cNvPr>
                <xdr:cNvPicPr>
                  <a:picLocks noChangeAspect="1" noChangeArrowheads="1"/>
                  <a:extLst>
                    <a:ext uri="{84589F7E-364E-4C9E-8A38-B11213B215E9}">
                      <a14:cameraTool cellRange="Flag15" spid="_x0000_s13623"/>
                    </a:ext>
                  </a:extLst>
                </xdr:cNvPicPr>
              </xdr:nvPicPr>
              <xdr:blipFill>
                <a:blip xmlns:r="http://schemas.openxmlformats.org/officeDocument/2006/relationships" r:embed="rId45"/>
                <a:srcRect/>
                <a:stretch>
                  <a:fillRect/>
                </a:stretch>
              </xdr:blipFill>
              <xdr:spPr bwMode="auto">
                <a:xfrm>
                  <a:off x="393700" y="11226800"/>
                  <a:ext cx="234950" cy="190500"/>
                </a:xfrm>
                <a:prstGeom prst="rect">
                  <a:avLst/>
                </a:prstGeom>
                <a:noFill/>
                <a:extLst>
                  <a:ext uri="{909E8E84-426E-40DD-AFC4-6F175D3DCCD1}">
                    <a14:hiddenFill>
                      <a:solidFill>
                        <a:srgbClr val="FFFFFF"/>
                      </a:solidFill>
                    </a14:hiddenFill>
                  </a:ext>
                </a:extLst>
              </xdr:spPr>
            </xdr:pic>
            <xdr:pic>
              <xdr:nvPicPr>
                <xdr:cNvPr id="124" name="Picture 123">
                  <a:extLst>
                    <a:ext uri="{FF2B5EF4-FFF2-40B4-BE49-F238E27FC236}">
                      <a16:creationId xmlns:a16="http://schemas.microsoft.com/office/drawing/2014/main" id="{00000000-0008-0000-0100-00007C000000}"/>
                    </a:ext>
                  </a:extLst>
                </xdr:cNvPr>
                <xdr:cNvPicPr>
                  <a:picLocks noChangeAspect="1" noChangeArrowheads="1"/>
                  <a:extLst>
                    <a:ext uri="{84589F7E-364E-4C9E-8A38-B11213B215E9}">
                      <a14:cameraTool cellRange="Flag16" spid="_x0000_s13624"/>
                    </a:ext>
                  </a:extLst>
                </xdr:cNvPicPr>
              </xdr:nvPicPr>
              <xdr:blipFill>
                <a:blip xmlns:r="http://schemas.openxmlformats.org/officeDocument/2006/relationships" r:embed="rId45"/>
                <a:srcRect/>
                <a:stretch>
                  <a:fillRect/>
                </a:stretch>
              </xdr:blipFill>
              <xdr:spPr bwMode="auto">
                <a:xfrm>
                  <a:off x="393700" y="11404600"/>
                  <a:ext cx="234950" cy="190500"/>
                </a:xfrm>
                <a:prstGeom prst="rect">
                  <a:avLst/>
                </a:prstGeom>
                <a:noFill/>
                <a:extLst>
                  <a:ext uri="{909E8E84-426E-40DD-AFC4-6F175D3DCCD1}">
                    <a14:hiddenFill>
                      <a:solidFill>
                        <a:srgbClr val="FFFFFF"/>
                      </a:solidFill>
                    </a14:hiddenFill>
                  </a:ext>
                </a:extLst>
              </xdr:spPr>
            </xdr:pic>
          </xdr:grp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56</xdr:row>
          <xdr:rowOff>12700</xdr:rowOff>
        </xdr:from>
        <xdr:to>
          <xdr:col>7</xdr:col>
          <xdr:colOff>33782</xdr:colOff>
          <xdr:row>82</xdr:row>
          <xdr:rowOff>6350</xdr:rowOff>
        </xdr:to>
        <xdr:grpSp>
          <xdr:nvGrpSpPr>
            <xdr:cNvPr id="56" name="Group 55">
              <a:extLst>
                <a:ext uri="{FF2B5EF4-FFF2-40B4-BE49-F238E27FC236}">
                  <a16:creationId xmlns:a16="http://schemas.microsoft.com/office/drawing/2014/main" id="{00000000-0008-0000-0100-000038000000}"/>
                </a:ext>
              </a:extLst>
            </xdr:cNvPr>
            <xdr:cNvGrpSpPr/>
          </xdr:nvGrpSpPr>
          <xdr:grpSpPr>
            <a:xfrm>
              <a:off x="2283114" y="9416473"/>
              <a:ext cx="244486" cy="5847195"/>
              <a:chOff x="2444750" y="11607800"/>
              <a:chExt cx="234950" cy="4781550"/>
            </a:xfrm>
          </xdr:grpSpPr>
          <xdr:grpSp>
            <xdr:nvGrpSpPr>
              <xdr:cNvPr id="42" name="Group 41">
                <a:extLst>
                  <a:ext uri="{FF2B5EF4-FFF2-40B4-BE49-F238E27FC236}">
                    <a16:creationId xmlns:a16="http://schemas.microsoft.com/office/drawing/2014/main" id="{00000000-0008-0000-0100-00002A000000}"/>
                  </a:ext>
                </a:extLst>
              </xdr:cNvPr>
              <xdr:cNvGrpSpPr/>
            </xdr:nvGrpSpPr>
            <xdr:grpSpPr>
              <a:xfrm>
                <a:off x="2444750" y="11607800"/>
                <a:ext cx="234950" cy="368300"/>
                <a:chOff x="2444750" y="11607800"/>
                <a:chExt cx="234950" cy="368300"/>
              </a:xfrm>
            </xdr:grpSpPr>
            <xdr:pic>
              <xdr:nvPicPr>
                <xdr:cNvPr id="126" name="Picture 125">
                  <a:extLst>
                    <a:ext uri="{FF2B5EF4-FFF2-40B4-BE49-F238E27FC236}">
                      <a16:creationId xmlns:a16="http://schemas.microsoft.com/office/drawing/2014/main" id="{00000000-0008-0000-0100-00007E000000}"/>
                    </a:ext>
                  </a:extLst>
                </xdr:cNvPr>
                <xdr:cNvPicPr>
                  <a:picLocks noChangeAspect="1" noChangeArrowheads="1"/>
                  <a:extLst>
                    <a:ext uri="{84589F7E-364E-4C9E-8A38-B11213B215E9}">
                      <a14:cameraTool cellRange="Flag17" spid="_x0000_s13625"/>
                    </a:ext>
                  </a:extLst>
                </xdr:cNvPicPr>
              </xdr:nvPicPr>
              <xdr:blipFill>
                <a:blip xmlns:r="http://schemas.openxmlformats.org/officeDocument/2006/relationships" r:embed="rId45"/>
                <a:srcRect/>
                <a:stretch>
                  <a:fillRect/>
                </a:stretch>
              </xdr:blipFill>
              <xdr:spPr bwMode="auto">
                <a:xfrm>
                  <a:off x="2444750" y="11607800"/>
                  <a:ext cx="234950" cy="190500"/>
                </a:xfrm>
                <a:prstGeom prst="rect">
                  <a:avLst/>
                </a:prstGeom>
                <a:noFill/>
                <a:extLst>
                  <a:ext uri="{909E8E84-426E-40DD-AFC4-6F175D3DCCD1}">
                    <a14:hiddenFill>
                      <a:solidFill>
                        <a:srgbClr val="FFFFFF"/>
                      </a:solidFill>
                    </a14:hiddenFill>
                  </a:ext>
                </a:extLst>
              </xdr:spPr>
            </xdr:pic>
            <xdr:pic>
              <xdr:nvPicPr>
                <xdr:cNvPr id="127" name="Picture 126">
                  <a:extLst>
                    <a:ext uri="{FF2B5EF4-FFF2-40B4-BE49-F238E27FC236}">
                      <a16:creationId xmlns:a16="http://schemas.microsoft.com/office/drawing/2014/main" id="{00000000-0008-0000-0100-00007F000000}"/>
                    </a:ext>
                  </a:extLst>
                </xdr:cNvPr>
                <xdr:cNvPicPr>
                  <a:picLocks noChangeAspect="1" noChangeArrowheads="1"/>
                  <a:extLst>
                    <a:ext uri="{84589F7E-364E-4C9E-8A38-B11213B215E9}">
                      <a14:cameraTool cellRange="Flag18" spid="_x0000_s13626"/>
                    </a:ext>
                  </a:extLst>
                </xdr:cNvPicPr>
              </xdr:nvPicPr>
              <xdr:blipFill>
                <a:blip xmlns:r="http://schemas.openxmlformats.org/officeDocument/2006/relationships" r:embed="rId45"/>
                <a:srcRect/>
                <a:stretch>
                  <a:fillRect/>
                </a:stretch>
              </xdr:blipFill>
              <xdr:spPr bwMode="auto">
                <a:xfrm>
                  <a:off x="2444750" y="11785600"/>
                  <a:ext cx="234950" cy="190500"/>
                </a:xfrm>
                <a:prstGeom prst="rect">
                  <a:avLst/>
                </a:prstGeom>
                <a:noFill/>
                <a:extLst>
                  <a:ext uri="{909E8E84-426E-40DD-AFC4-6F175D3DCCD1}">
                    <a14:hiddenFill>
                      <a:solidFill>
                        <a:srgbClr val="FFFFFF"/>
                      </a:solidFill>
                    </a14:hiddenFill>
                  </a:ext>
                </a:extLst>
              </xdr:spPr>
            </xdr:pic>
          </xdr:grpSp>
          <xdr:grpSp>
            <xdr:nvGrpSpPr>
              <xdr:cNvPr id="129" name="Group 128">
                <a:extLst>
                  <a:ext uri="{FF2B5EF4-FFF2-40B4-BE49-F238E27FC236}">
                    <a16:creationId xmlns:a16="http://schemas.microsoft.com/office/drawing/2014/main" id="{00000000-0008-0000-0100-000081000000}"/>
                  </a:ext>
                </a:extLst>
              </xdr:cNvPr>
              <xdr:cNvGrpSpPr/>
            </xdr:nvGrpSpPr>
            <xdr:grpSpPr>
              <a:xfrm>
                <a:off x="2444750" y="13078883"/>
                <a:ext cx="234950" cy="368300"/>
                <a:chOff x="2444750" y="11607800"/>
                <a:chExt cx="234950" cy="368300"/>
              </a:xfrm>
            </xdr:grpSpPr>
            <xdr:pic>
              <xdr:nvPicPr>
                <xdr:cNvPr id="130" name="Picture 129">
                  <a:extLst>
                    <a:ext uri="{FF2B5EF4-FFF2-40B4-BE49-F238E27FC236}">
                      <a16:creationId xmlns:a16="http://schemas.microsoft.com/office/drawing/2014/main" id="{00000000-0008-0000-0100-000082000000}"/>
                    </a:ext>
                  </a:extLst>
                </xdr:cNvPr>
                <xdr:cNvPicPr>
                  <a:picLocks noChangeAspect="1" noChangeArrowheads="1"/>
                  <a:extLst>
                    <a:ext uri="{84589F7E-364E-4C9E-8A38-B11213B215E9}">
                      <a14:cameraTool cellRange="Flag19" spid="_x0000_s13627"/>
                    </a:ext>
                  </a:extLst>
                </xdr:cNvPicPr>
              </xdr:nvPicPr>
              <xdr:blipFill>
                <a:blip xmlns:r="http://schemas.openxmlformats.org/officeDocument/2006/relationships" r:embed="rId45"/>
                <a:srcRect/>
                <a:stretch>
                  <a:fillRect/>
                </a:stretch>
              </xdr:blipFill>
              <xdr:spPr bwMode="auto">
                <a:xfrm>
                  <a:off x="2444750" y="11607800"/>
                  <a:ext cx="234950" cy="190500"/>
                </a:xfrm>
                <a:prstGeom prst="rect">
                  <a:avLst/>
                </a:prstGeom>
                <a:noFill/>
                <a:extLst>
                  <a:ext uri="{909E8E84-426E-40DD-AFC4-6F175D3DCCD1}">
                    <a14:hiddenFill>
                      <a:solidFill>
                        <a:srgbClr val="FFFFFF"/>
                      </a:solidFill>
                    </a14:hiddenFill>
                  </a:ext>
                </a:extLst>
              </xdr:spPr>
            </xdr:pic>
            <xdr:pic>
              <xdr:nvPicPr>
                <xdr:cNvPr id="131" name="Picture 130">
                  <a:extLst>
                    <a:ext uri="{FF2B5EF4-FFF2-40B4-BE49-F238E27FC236}">
                      <a16:creationId xmlns:a16="http://schemas.microsoft.com/office/drawing/2014/main" id="{00000000-0008-0000-0100-000083000000}"/>
                    </a:ext>
                  </a:extLst>
                </xdr:cNvPr>
                <xdr:cNvPicPr>
                  <a:picLocks noChangeAspect="1" noChangeArrowheads="1"/>
                  <a:extLst>
                    <a:ext uri="{84589F7E-364E-4C9E-8A38-B11213B215E9}">
                      <a14:cameraTool cellRange="Flag20" spid="_x0000_s13628"/>
                    </a:ext>
                  </a:extLst>
                </xdr:cNvPicPr>
              </xdr:nvPicPr>
              <xdr:blipFill>
                <a:blip xmlns:r="http://schemas.openxmlformats.org/officeDocument/2006/relationships" r:embed="rId45"/>
                <a:srcRect/>
                <a:stretch>
                  <a:fillRect/>
                </a:stretch>
              </xdr:blipFill>
              <xdr:spPr bwMode="auto">
                <a:xfrm>
                  <a:off x="2444750" y="11785600"/>
                  <a:ext cx="234950" cy="190500"/>
                </a:xfrm>
                <a:prstGeom prst="rect">
                  <a:avLst/>
                </a:prstGeom>
                <a:noFill/>
                <a:extLst>
                  <a:ext uri="{909E8E84-426E-40DD-AFC4-6F175D3DCCD1}">
                    <a14:hiddenFill>
                      <a:solidFill>
                        <a:srgbClr val="FFFFFF"/>
                      </a:solidFill>
                    </a14:hiddenFill>
                  </a:ext>
                </a:extLst>
              </xdr:spPr>
            </xdr:pic>
          </xdr:grpSp>
          <xdr:grpSp>
            <xdr:nvGrpSpPr>
              <xdr:cNvPr id="132" name="Group 131">
                <a:extLst>
                  <a:ext uri="{FF2B5EF4-FFF2-40B4-BE49-F238E27FC236}">
                    <a16:creationId xmlns:a16="http://schemas.microsoft.com/office/drawing/2014/main" id="{00000000-0008-0000-0100-000084000000}"/>
                  </a:ext>
                </a:extLst>
              </xdr:cNvPr>
              <xdr:cNvGrpSpPr/>
            </xdr:nvGrpSpPr>
            <xdr:grpSpPr>
              <a:xfrm>
                <a:off x="2444750" y="14549966"/>
                <a:ext cx="234950" cy="368300"/>
                <a:chOff x="2444750" y="11607800"/>
                <a:chExt cx="234950" cy="368300"/>
              </a:xfrm>
            </xdr:grpSpPr>
            <xdr:pic>
              <xdr:nvPicPr>
                <xdr:cNvPr id="133" name="Picture 132">
                  <a:extLst>
                    <a:ext uri="{FF2B5EF4-FFF2-40B4-BE49-F238E27FC236}">
                      <a16:creationId xmlns:a16="http://schemas.microsoft.com/office/drawing/2014/main" id="{00000000-0008-0000-0100-000085000000}"/>
                    </a:ext>
                  </a:extLst>
                </xdr:cNvPr>
                <xdr:cNvPicPr>
                  <a:picLocks noChangeAspect="1" noChangeArrowheads="1"/>
                  <a:extLst>
                    <a:ext uri="{84589F7E-364E-4C9E-8A38-B11213B215E9}">
                      <a14:cameraTool cellRange="Flag21" spid="_x0000_s13629"/>
                    </a:ext>
                  </a:extLst>
                </xdr:cNvPicPr>
              </xdr:nvPicPr>
              <xdr:blipFill>
                <a:blip xmlns:r="http://schemas.openxmlformats.org/officeDocument/2006/relationships" r:embed="rId45"/>
                <a:srcRect/>
                <a:stretch>
                  <a:fillRect/>
                </a:stretch>
              </xdr:blipFill>
              <xdr:spPr bwMode="auto">
                <a:xfrm>
                  <a:off x="2444750" y="11607800"/>
                  <a:ext cx="234950" cy="190500"/>
                </a:xfrm>
                <a:prstGeom prst="rect">
                  <a:avLst/>
                </a:prstGeom>
                <a:noFill/>
                <a:extLst>
                  <a:ext uri="{909E8E84-426E-40DD-AFC4-6F175D3DCCD1}">
                    <a14:hiddenFill>
                      <a:solidFill>
                        <a:srgbClr val="FFFFFF"/>
                      </a:solidFill>
                    </a14:hiddenFill>
                  </a:ext>
                </a:extLst>
              </xdr:spPr>
            </xdr:pic>
            <xdr:pic>
              <xdr:nvPicPr>
                <xdr:cNvPr id="134" name="Picture 133">
                  <a:extLst>
                    <a:ext uri="{FF2B5EF4-FFF2-40B4-BE49-F238E27FC236}">
                      <a16:creationId xmlns:a16="http://schemas.microsoft.com/office/drawing/2014/main" id="{00000000-0008-0000-0100-000086000000}"/>
                    </a:ext>
                  </a:extLst>
                </xdr:cNvPr>
                <xdr:cNvPicPr>
                  <a:picLocks noChangeAspect="1" noChangeArrowheads="1"/>
                  <a:extLst>
                    <a:ext uri="{84589F7E-364E-4C9E-8A38-B11213B215E9}">
                      <a14:cameraTool cellRange="Flag22" spid="_x0000_s13630"/>
                    </a:ext>
                  </a:extLst>
                </xdr:cNvPicPr>
              </xdr:nvPicPr>
              <xdr:blipFill>
                <a:blip xmlns:r="http://schemas.openxmlformats.org/officeDocument/2006/relationships" r:embed="rId45"/>
                <a:srcRect/>
                <a:stretch>
                  <a:fillRect/>
                </a:stretch>
              </xdr:blipFill>
              <xdr:spPr bwMode="auto">
                <a:xfrm>
                  <a:off x="2444750" y="11785600"/>
                  <a:ext cx="234950" cy="190500"/>
                </a:xfrm>
                <a:prstGeom prst="rect">
                  <a:avLst/>
                </a:prstGeom>
                <a:noFill/>
                <a:extLst>
                  <a:ext uri="{909E8E84-426E-40DD-AFC4-6F175D3DCCD1}">
                    <a14:hiddenFill>
                      <a:solidFill>
                        <a:srgbClr val="FFFFFF"/>
                      </a:solidFill>
                    </a14:hiddenFill>
                  </a:ext>
                </a:extLst>
              </xdr:spPr>
            </xdr:pic>
          </xdr:grpSp>
          <xdr:grpSp>
            <xdr:nvGrpSpPr>
              <xdr:cNvPr id="135" name="Group 134">
                <a:extLst>
                  <a:ext uri="{FF2B5EF4-FFF2-40B4-BE49-F238E27FC236}">
                    <a16:creationId xmlns:a16="http://schemas.microsoft.com/office/drawing/2014/main" id="{00000000-0008-0000-0100-000087000000}"/>
                  </a:ext>
                </a:extLst>
              </xdr:cNvPr>
              <xdr:cNvGrpSpPr/>
            </xdr:nvGrpSpPr>
            <xdr:grpSpPr>
              <a:xfrm>
                <a:off x="2444750" y="16021050"/>
                <a:ext cx="234950" cy="368300"/>
                <a:chOff x="2444750" y="11607800"/>
                <a:chExt cx="234950" cy="368300"/>
              </a:xfrm>
            </xdr:grpSpPr>
            <xdr:pic>
              <xdr:nvPicPr>
                <xdr:cNvPr id="136" name="Picture 135">
                  <a:extLst>
                    <a:ext uri="{FF2B5EF4-FFF2-40B4-BE49-F238E27FC236}">
                      <a16:creationId xmlns:a16="http://schemas.microsoft.com/office/drawing/2014/main" id="{00000000-0008-0000-0100-000088000000}"/>
                    </a:ext>
                  </a:extLst>
                </xdr:cNvPr>
                <xdr:cNvPicPr>
                  <a:picLocks noChangeAspect="1" noChangeArrowheads="1"/>
                  <a:extLst>
                    <a:ext uri="{84589F7E-364E-4C9E-8A38-B11213B215E9}">
                      <a14:cameraTool cellRange="Flag23" spid="_x0000_s13631"/>
                    </a:ext>
                  </a:extLst>
                </xdr:cNvPicPr>
              </xdr:nvPicPr>
              <xdr:blipFill>
                <a:blip xmlns:r="http://schemas.openxmlformats.org/officeDocument/2006/relationships" r:embed="rId45"/>
                <a:srcRect/>
                <a:stretch>
                  <a:fillRect/>
                </a:stretch>
              </xdr:blipFill>
              <xdr:spPr bwMode="auto">
                <a:xfrm>
                  <a:off x="2444750" y="11607800"/>
                  <a:ext cx="234950" cy="190500"/>
                </a:xfrm>
                <a:prstGeom prst="rect">
                  <a:avLst/>
                </a:prstGeom>
                <a:noFill/>
                <a:extLst>
                  <a:ext uri="{909E8E84-426E-40DD-AFC4-6F175D3DCCD1}">
                    <a14:hiddenFill>
                      <a:solidFill>
                        <a:srgbClr val="FFFFFF"/>
                      </a:solidFill>
                    </a14:hiddenFill>
                  </a:ext>
                </a:extLst>
              </xdr:spPr>
            </xdr:pic>
            <xdr:pic>
              <xdr:nvPicPr>
                <xdr:cNvPr id="137" name="Picture 136">
                  <a:extLst>
                    <a:ext uri="{FF2B5EF4-FFF2-40B4-BE49-F238E27FC236}">
                      <a16:creationId xmlns:a16="http://schemas.microsoft.com/office/drawing/2014/main" id="{00000000-0008-0000-0100-000089000000}"/>
                    </a:ext>
                  </a:extLst>
                </xdr:cNvPr>
                <xdr:cNvPicPr>
                  <a:picLocks noChangeAspect="1" noChangeArrowheads="1"/>
                  <a:extLst>
                    <a:ext uri="{84589F7E-364E-4C9E-8A38-B11213B215E9}">
                      <a14:cameraTool cellRange="Flag24" spid="_x0000_s13632"/>
                    </a:ext>
                  </a:extLst>
                </xdr:cNvPicPr>
              </xdr:nvPicPr>
              <xdr:blipFill>
                <a:blip xmlns:r="http://schemas.openxmlformats.org/officeDocument/2006/relationships" r:embed="rId45"/>
                <a:srcRect/>
                <a:stretch>
                  <a:fillRect/>
                </a:stretch>
              </xdr:blipFill>
              <xdr:spPr bwMode="auto">
                <a:xfrm>
                  <a:off x="2444750" y="11785600"/>
                  <a:ext cx="234950" cy="190500"/>
                </a:xfrm>
                <a:prstGeom prst="rect">
                  <a:avLst/>
                </a:prstGeom>
                <a:noFill/>
                <a:extLst>
                  <a:ext uri="{909E8E84-426E-40DD-AFC4-6F175D3DCCD1}">
                    <a14:hiddenFill>
                      <a:solidFill>
                        <a:srgbClr val="FFFFFF"/>
                      </a:solidFill>
                    </a14:hiddenFill>
                  </a:ext>
                </a:extLst>
              </xdr:spPr>
            </xdr:pic>
          </xdr:grp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24694</xdr:colOff>
          <xdr:row>60</xdr:row>
          <xdr:rowOff>19050</xdr:rowOff>
        </xdr:from>
        <xdr:to>
          <xdr:col>11</xdr:col>
          <xdr:colOff>26726</xdr:colOff>
          <xdr:row>78</xdr:row>
          <xdr:rowOff>12700</xdr:rowOff>
        </xdr:to>
        <xdr:grpSp>
          <xdr:nvGrpSpPr>
            <xdr:cNvPr id="68" name="Group 67">
              <a:extLst>
                <a:ext uri="{FF2B5EF4-FFF2-40B4-BE49-F238E27FC236}">
                  <a16:creationId xmlns:a16="http://schemas.microsoft.com/office/drawing/2014/main" id="{00000000-0008-0000-0100-000044000000}"/>
                </a:ext>
              </a:extLst>
            </xdr:cNvPr>
            <xdr:cNvGrpSpPr/>
          </xdr:nvGrpSpPr>
          <xdr:grpSpPr>
            <a:xfrm>
              <a:off x="3973239" y="10323368"/>
              <a:ext cx="244487" cy="4046105"/>
              <a:chOff x="4318000" y="12350750"/>
              <a:chExt cx="234950" cy="3308350"/>
            </a:xfrm>
          </xdr:grpSpPr>
          <xdr:grpSp>
            <xdr:nvGrpSpPr>
              <xdr:cNvPr id="67" name="Group 66">
                <a:extLst>
                  <a:ext uri="{FF2B5EF4-FFF2-40B4-BE49-F238E27FC236}">
                    <a16:creationId xmlns:a16="http://schemas.microsoft.com/office/drawing/2014/main" id="{00000000-0008-0000-0100-000043000000}"/>
                  </a:ext>
                </a:extLst>
              </xdr:cNvPr>
              <xdr:cNvGrpSpPr/>
            </xdr:nvGrpSpPr>
            <xdr:grpSpPr>
              <a:xfrm>
                <a:off x="4318000" y="12350750"/>
                <a:ext cx="234950" cy="368300"/>
                <a:chOff x="6394450" y="12331700"/>
                <a:chExt cx="234950" cy="368300"/>
              </a:xfrm>
            </xdr:grpSpPr>
            <xdr:pic>
              <xdr:nvPicPr>
                <xdr:cNvPr id="145" name="Picture 144">
                  <a:extLst>
                    <a:ext uri="{FF2B5EF4-FFF2-40B4-BE49-F238E27FC236}">
                      <a16:creationId xmlns:a16="http://schemas.microsoft.com/office/drawing/2014/main" id="{00000000-0008-0000-0100-000091000000}"/>
                    </a:ext>
                  </a:extLst>
                </xdr:cNvPr>
                <xdr:cNvPicPr>
                  <a:picLocks noChangeAspect="1" noChangeArrowheads="1"/>
                  <a:extLst>
                    <a:ext uri="{84589F7E-364E-4C9E-8A38-B11213B215E9}">
                      <a14:cameraTool cellRange="Flag25" spid="_x0000_s13633"/>
                    </a:ext>
                  </a:extLst>
                </xdr:cNvPicPr>
              </xdr:nvPicPr>
              <xdr:blipFill>
                <a:blip xmlns:r="http://schemas.openxmlformats.org/officeDocument/2006/relationships" r:embed="rId45"/>
                <a:srcRect/>
                <a:stretch>
                  <a:fillRect/>
                </a:stretch>
              </xdr:blipFill>
              <xdr:spPr bwMode="auto">
                <a:xfrm>
                  <a:off x="6394450" y="12331700"/>
                  <a:ext cx="234950" cy="190500"/>
                </a:xfrm>
                <a:prstGeom prst="rect">
                  <a:avLst/>
                </a:prstGeom>
                <a:noFill/>
                <a:extLst>
                  <a:ext uri="{909E8E84-426E-40DD-AFC4-6F175D3DCCD1}">
                    <a14:hiddenFill>
                      <a:solidFill>
                        <a:srgbClr val="FFFFFF"/>
                      </a:solidFill>
                    </a14:hiddenFill>
                  </a:ext>
                </a:extLst>
              </xdr:spPr>
            </xdr:pic>
            <xdr:pic>
              <xdr:nvPicPr>
                <xdr:cNvPr id="146" name="Picture 145">
                  <a:extLst>
                    <a:ext uri="{FF2B5EF4-FFF2-40B4-BE49-F238E27FC236}">
                      <a16:creationId xmlns:a16="http://schemas.microsoft.com/office/drawing/2014/main" id="{00000000-0008-0000-0100-000092000000}"/>
                    </a:ext>
                  </a:extLst>
                </xdr:cNvPr>
                <xdr:cNvPicPr>
                  <a:picLocks noChangeAspect="1" noChangeArrowheads="1"/>
                  <a:extLst>
                    <a:ext uri="{84589F7E-364E-4C9E-8A38-B11213B215E9}">
                      <a14:cameraTool cellRange="Flag26" spid="_x0000_s13634"/>
                    </a:ext>
                  </a:extLst>
                </xdr:cNvPicPr>
              </xdr:nvPicPr>
              <xdr:blipFill>
                <a:blip xmlns:r="http://schemas.openxmlformats.org/officeDocument/2006/relationships" r:embed="rId45"/>
                <a:srcRect/>
                <a:stretch>
                  <a:fillRect/>
                </a:stretch>
              </xdr:blipFill>
              <xdr:spPr bwMode="auto">
                <a:xfrm>
                  <a:off x="6394450" y="12509500"/>
                  <a:ext cx="234950" cy="190500"/>
                </a:xfrm>
                <a:prstGeom prst="rect">
                  <a:avLst/>
                </a:prstGeom>
                <a:noFill/>
                <a:extLst>
                  <a:ext uri="{909E8E84-426E-40DD-AFC4-6F175D3DCCD1}">
                    <a14:hiddenFill>
                      <a:solidFill>
                        <a:srgbClr val="FFFFFF"/>
                      </a:solidFill>
                    </a14:hiddenFill>
                  </a:ext>
                </a:extLst>
              </xdr:spPr>
            </xdr:pic>
          </xdr:grpSp>
          <xdr:grpSp>
            <xdr:nvGrpSpPr>
              <xdr:cNvPr id="151" name="Group 150">
                <a:extLst>
                  <a:ext uri="{FF2B5EF4-FFF2-40B4-BE49-F238E27FC236}">
                    <a16:creationId xmlns:a16="http://schemas.microsoft.com/office/drawing/2014/main" id="{00000000-0008-0000-0100-000097000000}"/>
                  </a:ext>
                </a:extLst>
              </xdr:cNvPr>
              <xdr:cNvGrpSpPr/>
            </xdr:nvGrpSpPr>
            <xdr:grpSpPr>
              <a:xfrm>
                <a:off x="4318000" y="15290800"/>
                <a:ext cx="234950" cy="368300"/>
                <a:chOff x="6394450" y="12331700"/>
                <a:chExt cx="234950" cy="368300"/>
              </a:xfrm>
            </xdr:grpSpPr>
            <xdr:pic>
              <xdr:nvPicPr>
                <xdr:cNvPr id="152" name="Picture 151">
                  <a:extLst>
                    <a:ext uri="{FF2B5EF4-FFF2-40B4-BE49-F238E27FC236}">
                      <a16:creationId xmlns:a16="http://schemas.microsoft.com/office/drawing/2014/main" id="{00000000-0008-0000-0100-000098000000}"/>
                    </a:ext>
                  </a:extLst>
                </xdr:cNvPr>
                <xdr:cNvPicPr>
                  <a:picLocks noChangeAspect="1" noChangeArrowheads="1"/>
                  <a:extLst>
                    <a:ext uri="{84589F7E-364E-4C9E-8A38-B11213B215E9}">
                      <a14:cameraTool cellRange="Flag27" spid="_x0000_s13635"/>
                    </a:ext>
                  </a:extLst>
                </xdr:cNvPicPr>
              </xdr:nvPicPr>
              <xdr:blipFill>
                <a:blip xmlns:r="http://schemas.openxmlformats.org/officeDocument/2006/relationships" r:embed="rId45"/>
                <a:srcRect/>
                <a:stretch>
                  <a:fillRect/>
                </a:stretch>
              </xdr:blipFill>
              <xdr:spPr bwMode="auto">
                <a:xfrm>
                  <a:off x="6394450" y="12331700"/>
                  <a:ext cx="234950" cy="190500"/>
                </a:xfrm>
                <a:prstGeom prst="rect">
                  <a:avLst/>
                </a:prstGeom>
                <a:noFill/>
                <a:extLst>
                  <a:ext uri="{909E8E84-426E-40DD-AFC4-6F175D3DCCD1}">
                    <a14:hiddenFill>
                      <a:solidFill>
                        <a:srgbClr val="FFFFFF"/>
                      </a:solidFill>
                    </a14:hiddenFill>
                  </a:ext>
                </a:extLst>
              </xdr:spPr>
            </xdr:pic>
            <xdr:pic>
              <xdr:nvPicPr>
                <xdr:cNvPr id="153" name="Picture 152">
                  <a:extLst>
                    <a:ext uri="{FF2B5EF4-FFF2-40B4-BE49-F238E27FC236}">
                      <a16:creationId xmlns:a16="http://schemas.microsoft.com/office/drawing/2014/main" id="{00000000-0008-0000-0100-000099000000}"/>
                    </a:ext>
                  </a:extLst>
                </xdr:cNvPr>
                <xdr:cNvPicPr>
                  <a:picLocks noChangeAspect="1" noChangeArrowheads="1"/>
                  <a:extLst>
                    <a:ext uri="{84589F7E-364E-4C9E-8A38-B11213B215E9}">
                      <a14:cameraTool cellRange="Flag28" spid="_x0000_s13636"/>
                    </a:ext>
                  </a:extLst>
                </xdr:cNvPicPr>
              </xdr:nvPicPr>
              <xdr:blipFill>
                <a:blip xmlns:r="http://schemas.openxmlformats.org/officeDocument/2006/relationships" r:embed="rId45"/>
                <a:srcRect/>
                <a:stretch>
                  <a:fillRect/>
                </a:stretch>
              </xdr:blipFill>
              <xdr:spPr bwMode="auto">
                <a:xfrm>
                  <a:off x="6394450" y="12509500"/>
                  <a:ext cx="234950" cy="190500"/>
                </a:xfrm>
                <a:prstGeom prst="rect">
                  <a:avLst/>
                </a:prstGeom>
                <a:noFill/>
                <a:extLst>
                  <a:ext uri="{909E8E84-426E-40DD-AFC4-6F175D3DCCD1}">
                    <a14:hiddenFill>
                      <a:solidFill>
                        <a:srgbClr val="FFFFFF"/>
                      </a:solidFill>
                    </a14:hiddenFill>
                  </a:ext>
                </a:extLst>
              </xdr:spPr>
            </xdr:pic>
          </xdr:grp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23988</xdr:colOff>
          <xdr:row>68</xdr:row>
          <xdr:rowOff>19046</xdr:rowOff>
        </xdr:from>
        <xdr:to>
          <xdr:col>16</xdr:col>
          <xdr:colOff>26020</xdr:colOff>
          <xdr:row>70</xdr:row>
          <xdr:rowOff>19486</xdr:rowOff>
        </xdr:to>
        <xdr:grpSp>
          <xdr:nvGrpSpPr>
            <xdr:cNvPr id="155" name="Group 154">
              <a:extLst>
                <a:ext uri="{FF2B5EF4-FFF2-40B4-BE49-F238E27FC236}">
                  <a16:creationId xmlns:a16="http://schemas.microsoft.com/office/drawing/2014/main" id="{00000000-0008-0000-0100-00009B000000}"/>
                </a:ext>
              </a:extLst>
            </xdr:cNvPr>
            <xdr:cNvGrpSpPr/>
          </xdr:nvGrpSpPr>
          <xdr:grpSpPr>
            <a:xfrm>
              <a:off x="5912170" y="12124455"/>
              <a:ext cx="244486" cy="450713"/>
              <a:chOff x="6394450" y="12331700"/>
              <a:chExt cx="234950" cy="368300"/>
            </a:xfrm>
          </xdr:grpSpPr>
          <xdr:pic>
            <xdr:nvPicPr>
              <xdr:cNvPr id="159" name="Picture 158">
                <a:extLst>
                  <a:ext uri="{FF2B5EF4-FFF2-40B4-BE49-F238E27FC236}">
                    <a16:creationId xmlns:a16="http://schemas.microsoft.com/office/drawing/2014/main" id="{00000000-0008-0000-0100-00009F000000}"/>
                  </a:ext>
                </a:extLst>
              </xdr:cNvPr>
              <xdr:cNvPicPr>
                <a:picLocks noChangeAspect="1" noChangeArrowheads="1"/>
                <a:extLst>
                  <a:ext uri="{84589F7E-364E-4C9E-8A38-B11213B215E9}">
                    <a14:cameraTool cellRange="Flag29" spid="_x0000_s13637"/>
                  </a:ext>
                </a:extLst>
              </xdr:cNvPicPr>
            </xdr:nvPicPr>
            <xdr:blipFill>
              <a:blip xmlns:r="http://schemas.openxmlformats.org/officeDocument/2006/relationships" r:embed="rId45"/>
              <a:srcRect/>
              <a:stretch>
                <a:fillRect/>
              </a:stretch>
            </xdr:blipFill>
            <xdr:spPr bwMode="auto">
              <a:xfrm>
                <a:off x="6394450" y="12331700"/>
                <a:ext cx="234950" cy="190500"/>
              </a:xfrm>
              <a:prstGeom prst="rect">
                <a:avLst/>
              </a:prstGeom>
              <a:noFill/>
              <a:extLst>
                <a:ext uri="{909E8E84-426E-40DD-AFC4-6F175D3DCCD1}">
                  <a14:hiddenFill>
                    <a:solidFill>
                      <a:srgbClr val="FFFFFF"/>
                    </a:solidFill>
                  </a14:hiddenFill>
                </a:ext>
              </a:extLst>
            </xdr:spPr>
          </xdr:pic>
          <xdr:pic>
            <xdr:nvPicPr>
              <xdr:cNvPr id="160" name="Picture 159">
                <a:extLst>
                  <a:ext uri="{FF2B5EF4-FFF2-40B4-BE49-F238E27FC236}">
                    <a16:creationId xmlns:a16="http://schemas.microsoft.com/office/drawing/2014/main" id="{00000000-0008-0000-0100-0000A0000000}"/>
                  </a:ext>
                </a:extLst>
              </xdr:cNvPr>
              <xdr:cNvPicPr>
                <a:picLocks noChangeAspect="1" noChangeArrowheads="1"/>
                <a:extLst>
                  <a:ext uri="{84589F7E-364E-4C9E-8A38-B11213B215E9}">
                    <a14:cameraTool cellRange="Flag30" spid="_x0000_s13638"/>
                  </a:ext>
                </a:extLst>
              </xdr:cNvPicPr>
            </xdr:nvPicPr>
            <xdr:blipFill>
              <a:blip xmlns:r="http://schemas.openxmlformats.org/officeDocument/2006/relationships" r:embed="rId45"/>
              <a:srcRect/>
              <a:stretch>
                <a:fillRect/>
              </a:stretch>
            </xdr:blipFill>
            <xdr:spPr bwMode="auto">
              <a:xfrm>
                <a:off x="6394450" y="12509500"/>
                <a:ext cx="234950" cy="190500"/>
              </a:xfrm>
              <a:prstGeom prst="rect">
                <a:avLst/>
              </a:prstGeom>
              <a:noFill/>
              <a:extLst>
                <a:ext uri="{909E8E84-426E-40DD-AFC4-6F175D3DCCD1}">
                  <a14:hiddenFill>
                    <a:solidFill>
                      <a:srgbClr val="FFFFFF"/>
                    </a:solidFill>
                  </a14:hiddenFill>
                </a:ext>
              </a:extLst>
            </xdr:spPr>
          </xdr:pic>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58</xdr:row>
          <xdr:rowOff>31752</xdr:rowOff>
        </xdr:from>
        <xdr:to>
          <xdr:col>19</xdr:col>
          <xdr:colOff>275082</xdr:colOff>
          <xdr:row>64</xdr:row>
          <xdr:rowOff>127786</xdr:rowOff>
        </xdr:to>
        <xdr:grpSp>
          <xdr:nvGrpSpPr>
            <xdr:cNvPr id="88" name="Group 87">
              <a:extLst>
                <a:ext uri="{FF2B5EF4-FFF2-40B4-BE49-F238E27FC236}">
                  <a16:creationId xmlns:a16="http://schemas.microsoft.com/office/drawing/2014/main" id="{00000000-0008-0000-0100-000058000000}"/>
                </a:ext>
              </a:extLst>
            </xdr:cNvPr>
            <xdr:cNvGrpSpPr/>
          </xdr:nvGrpSpPr>
          <xdr:grpSpPr>
            <a:xfrm>
              <a:off x="7872845" y="9885797"/>
              <a:ext cx="256032" cy="1446853"/>
              <a:chOff x="8947150" y="11995151"/>
              <a:chExt cx="234950" cy="1187449"/>
            </a:xfrm>
          </xdr:grpSpPr>
          <xdr:pic>
            <xdr:nvPicPr>
              <xdr:cNvPr id="161" name="Picture 160">
                <a:extLst>
                  <a:ext uri="{FF2B5EF4-FFF2-40B4-BE49-F238E27FC236}">
                    <a16:creationId xmlns:a16="http://schemas.microsoft.com/office/drawing/2014/main" id="{00000000-0008-0000-0100-0000A1000000}"/>
                  </a:ext>
                </a:extLst>
              </xdr:cNvPr>
              <xdr:cNvPicPr>
                <a:picLocks noChangeAspect="1" noChangeArrowheads="1"/>
                <a:extLst>
                  <a:ext uri="{84589F7E-364E-4C9E-8A38-B11213B215E9}">
                    <a14:cameraTool cellRange="Flag33" spid="_x0000_s13639"/>
                  </a:ext>
                </a:extLst>
              </xdr:cNvPicPr>
            </xdr:nvPicPr>
            <xdr:blipFill>
              <a:blip xmlns:r="http://schemas.openxmlformats.org/officeDocument/2006/relationships" r:embed="rId45"/>
              <a:srcRect/>
              <a:stretch>
                <a:fillRect/>
              </a:stretch>
            </xdr:blipFill>
            <xdr:spPr bwMode="auto">
              <a:xfrm>
                <a:off x="8947150" y="11995151"/>
                <a:ext cx="234950" cy="190500"/>
              </a:xfrm>
              <a:prstGeom prst="rect">
                <a:avLst/>
              </a:prstGeom>
              <a:noFill/>
              <a:extLst>
                <a:ext uri="{909E8E84-426E-40DD-AFC4-6F175D3DCCD1}">
                  <a14:hiddenFill>
                    <a:solidFill>
                      <a:srgbClr val="FFFFFF"/>
                    </a:solidFill>
                  </a14:hiddenFill>
                </a:ext>
              </a:extLst>
            </xdr:spPr>
          </xdr:pic>
          <xdr:pic>
            <xdr:nvPicPr>
              <xdr:cNvPr id="162" name="Picture 161">
                <a:extLst>
                  <a:ext uri="{FF2B5EF4-FFF2-40B4-BE49-F238E27FC236}">
                    <a16:creationId xmlns:a16="http://schemas.microsoft.com/office/drawing/2014/main" id="{00000000-0008-0000-0100-0000A2000000}"/>
                  </a:ext>
                </a:extLst>
              </xdr:cNvPr>
              <xdr:cNvPicPr>
                <a:picLocks noChangeAspect="1" noChangeArrowheads="1"/>
                <a:extLst>
                  <a:ext uri="{84589F7E-364E-4C9E-8A38-B11213B215E9}">
                    <a14:cameraTool cellRange="Flag34" spid="_x0000_s13640"/>
                  </a:ext>
                </a:extLst>
              </xdr:cNvPicPr>
            </xdr:nvPicPr>
            <xdr:blipFill>
              <a:blip xmlns:r="http://schemas.openxmlformats.org/officeDocument/2006/relationships" r:embed="rId45"/>
              <a:srcRect/>
              <a:stretch>
                <a:fillRect/>
              </a:stretch>
            </xdr:blipFill>
            <xdr:spPr bwMode="auto">
              <a:xfrm>
                <a:off x="8947150" y="12992100"/>
                <a:ext cx="234950" cy="190500"/>
              </a:xfrm>
              <a:prstGeom prst="rect">
                <a:avLst/>
              </a:prstGeom>
              <a:noFill/>
              <a:extLst>
                <a:ext uri="{909E8E84-426E-40DD-AFC4-6F175D3DCCD1}">
                  <a14:hiddenFill>
                    <a:solidFill>
                      <a:srgbClr val="FFFFFF"/>
                    </a:solidFill>
                  </a14:hiddenFill>
                </a:ext>
              </a:extLst>
            </xdr:spPr>
          </xdr:pic>
        </xdr:grpSp>
        <xdr:clientData/>
      </xdr:twoCellAnchor>
    </mc:Choice>
    <mc:Fallback/>
  </mc:AlternateContent>
  <xdr:twoCellAnchor editAs="oneCell">
    <xdr:from>
      <xdr:col>16</xdr:col>
      <xdr:colOff>132237</xdr:colOff>
      <xdr:row>53</xdr:row>
      <xdr:rowOff>159575</xdr:rowOff>
    </xdr:from>
    <xdr:to>
      <xdr:col>19</xdr:col>
      <xdr:colOff>1871</xdr:colOff>
      <xdr:row>61</xdr:row>
      <xdr:rowOff>95938</xdr:rowOff>
    </xdr:to>
    <xdr:pic>
      <xdr:nvPicPr>
        <xdr:cNvPr id="69" name="Picture 68">
          <a:extLst>
            <a:ext uri="{FF2B5EF4-FFF2-40B4-BE49-F238E27FC236}">
              <a16:creationId xmlns:a16="http://schemas.microsoft.com/office/drawing/2014/main" id="{46E63A94-CB1A-2202-7B3D-DCA7726E1696}"/>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6262873" y="8887939"/>
          <a:ext cx="1592793" cy="17374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120</xdr:col>
      <xdr:colOff>36457</xdr:colOff>
      <xdr:row>6</xdr:row>
      <xdr:rowOff>25006</xdr:rowOff>
    </xdr:from>
    <xdr:to>
      <xdr:col>120</xdr:col>
      <xdr:colOff>191905</xdr:colOff>
      <xdr:row>37</xdr:row>
      <xdr:rowOff>178161</xdr:rowOff>
    </xdr:to>
    <xdr:grpSp>
      <xdr:nvGrpSpPr>
        <xdr:cNvPr id="60" name="Group 59">
          <a:extLst>
            <a:ext uri="{FF2B5EF4-FFF2-40B4-BE49-F238E27FC236}">
              <a16:creationId xmlns:a16="http://schemas.microsoft.com/office/drawing/2014/main" id="{C8DF9DB7-4245-3D9B-36CF-B9B72AED7557}"/>
            </a:ext>
          </a:extLst>
        </xdr:cNvPr>
        <xdr:cNvGrpSpPr/>
      </xdr:nvGrpSpPr>
      <xdr:grpSpPr>
        <a:xfrm>
          <a:off x="53243107" y="1168006"/>
          <a:ext cx="155448" cy="6211055"/>
          <a:chOff x="53251900" y="1168006"/>
          <a:chExt cx="155448" cy="6234501"/>
        </a:xfrm>
      </xdr:grpSpPr>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51900" y="5090086"/>
            <a:ext cx="155448" cy="156152"/>
          </a:xfrm>
          <a:prstGeom prst="rect">
            <a:avLst/>
          </a:prstGeom>
        </xdr:spPr>
      </xdr:pic>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251900" y="4305670"/>
            <a:ext cx="155448" cy="156152"/>
          </a:xfrm>
          <a:prstGeom prst="rect">
            <a:avLst/>
          </a:prstGeom>
        </xdr:spPr>
      </xdr:pic>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251900" y="4501950"/>
            <a:ext cx="155448" cy="156152"/>
          </a:xfrm>
          <a:prstGeom prst="rect">
            <a:avLst/>
          </a:prstGeom>
        </xdr:spPr>
      </xdr:pic>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51900" y="5482646"/>
            <a:ext cx="155448" cy="156152"/>
          </a:xfrm>
          <a:prstGeom prst="rect">
            <a:avLst/>
          </a:prstGeom>
        </xdr:spPr>
      </xdr:pic>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251900" y="5874502"/>
            <a:ext cx="155448" cy="156152"/>
          </a:xfrm>
          <a:prstGeom prst="rect">
            <a:avLst/>
          </a:prstGeom>
        </xdr:spPr>
      </xdr:pic>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251900" y="6658214"/>
            <a:ext cx="155448" cy="156152"/>
          </a:xfrm>
          <a:prstGeom prst="rect">
            <a:avLst/>
          </a:prstGeom>
        </xdr:spPr>
      </xdr:pic>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251900" y="2736134"/>
            <a:ext cx="155448" cy="156152"/>
          </a:xfrm>
          <a:prstGeom prst="rect">
            <a:avLst/>
          </a:prstGeom>
        </xdr:spPr>
      </xdr:pic>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3251900" y="3324270"/>
            <a:ext cx="155448" cy="156152"/>
          </a:xfrm>
          <a:prstGeom prst="rect">
            <a:avLst/>
          </a:prstGeom>
        </xdr:spPr>
      </xdr:pic>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251900" y="4109390"/>
            <a:ext cx="155448" cy="156152"/>
          </a:xfrm>
          <a:prstGeom prst="rect">
            <a:avLst/>
          </a:prstGeom>
        </xdr:spPr>
      </xdr:pic>
      <xdr:pic>
        <xdr:nvPicPr>
          <xdr:cNvPr id="24" name="Picture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3251900" y="6070782"/>
            <a:ext cx="155448" cy="156152"/>
          </a:xfrm>
          <a:prstGeom prst="rect">
            <a:avLst/>
          </a:prstGeom>
        </xdr:spPr>
      </xdr:pic>
      <xdr:pic>
        <xdr:nvPicPr>
          <xdr:cNvPr id="25" name="Picture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3251900" y="6854494"/>
            <a:ext cx="155448" cy="156152"/>
          </a:xfrm>
          <a:prstGeom prst="rect">
            <a:avLst/>
          </a:prstGeom>
        </xdr:spPr>
      </xdr:pic>
      <xdr:pic>
        <xdr:nvPicPr>
          <xdr:cNvPr id="30" name="Picture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3251900" y="3716830"/>
            <a:ext cx="155448" cy="156152"/>
          </a:xfrm>
          <a:prstGeom prst="rect">
            <a:avLst/>
          </a:prstGeom>
        </xdr:spPr>
      </xdr:pic>
      <xdr:pic>
        <xdr:nvPicPr>
          <xdr:cNvPr id="34" name="Picture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3253039" y="1756142"/>
            <a:ext cx="154309" cy="155448"/>
          </a:xfrm>
          <a:prstGeom prst="rect">
            <a:avLst/>
          </a:prstGeom>
        </xdr:spPr>
      </xdr:pic>
      <xdr:pic>
        <xdr:nvPicPr>
          <xdr:cNvPr id="4" name="Picture 3">
            <a:extLst>
              <a:ext uri="{FF2B5EF4-FFF2-40B4-BE49-F238E27FC236}">
                <a16:creationId xmlns:a16="http://schemas.microsoft.com/office/drawing/2014/main" id="{F2DA19BA-A29F-8AD4-7062-2442FC8096B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3253039" y="2540558"/>
            <a:ext cx="154309" cy="155448"/>
          </a:xfrm>
          <a:prstGeom prst="rect">
            <a:avLst/>
          </a:prstGeom>
        </xdr:spPr>
      </xdr:pic>
      <xdr:pic>
        <xdr:nvPicPr>
          <xdr:cNvPr id="15" name="Picture 14">
            <a:extLst>
              <a:ext uri="{FF2B5EF4-FFF2-40B4-BE49-F238E27FC236}">
                <a16:creationId xmlns:a16="http://schemas.microsoft.com/office/drawing/2014/main" id="{6F604C18-1CB7-50A0-1E26-F81B331565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251900" y="5286366"/>
            <a:ext cx="155448" cy="156152"/>
          </a:xfrm>
          <a:prstGeom prst="rect">
            <a:avLst/>
          </a:prstGeom>
        </xdr:spPr>
      </xdr:pic>
      <xdr:pic>
        <xdr:nvPicPr>
          <xdr:cNvPr id="16" name="Picture 15">
            <a:extLst>
              <a:ext uri="{FF2B5EF4-FFF2-40B4-BE49-F238E27FC236}">
                <a16:creationId xmlns:a16="http://schemas.microsoft.com/office/drawing/2014/main" id="{55A57917-E23C-AF88-B217-B1AE8C8972E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251900" y="2147998"/>
            <a:ext cx="155448" cy="156152"/>
          </a:xfrm>
          <a:prstGeom prst="rect">
            <a:avLst/>
          </a:prstGeom>
        </xdr:spPr>
      </xdr:pic>
      <xdr:pic>
        <xdr:nvPicPr>
          <xdr:cNvPr id="22" name="Picture 21">
            <a:extLst>
              <a:ext uri="{FF2B5EF4-FFF2-40B4-BE49-F238E27FC236}">
                <a16:creationId xmlns:a16="http://schemas.microsoft.com/office/drawing/2014/main" id="{D526DADF-B8BF-D680-2E73-73AB5D87629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251900" y="3913110"/>
            <a:ext cx="155448" cy="156152"/>
          </a:xfrm>
          <a:prstGeom prst="rect">
            <a:avLst/>
          </a:prstGeom>
        </xdr:spPr>
      </xdr:pic>
      <xdr:pic>
        <xdr:nvPicPr>
          <xdr:cNvPr id="23" name="Picture 22">
            <a:extLst>
              <a:ext uri="{FF2B5EF4-FFF2-40B4-BE49-F238E27FC236}">
                <a16:creationId xmlns:a16="http://schemas.microsoft.com/office/drawing/2014/main" id="{42DB5298-06E3-E280-000E-2C413EE8ED2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3251900" y="1364286"/>
            <a:ext cx="155448" cy="156152"/>
          </a:xfrm>
          <a:prstGeom prst="rect">
            <a:avLst/>
          </a:prstGeom>
        </xdr:spPr>
      </xdr:pic>
      <xdr:pic>
        <xdr:nvPicPr>
          <xdr:cNvPr id="27" name="Picture 26">
            <a:extLst>
              <a:ext uri="{FF2B5EF4-FFF2-40B4-BE49-F238E27FC236}">
                <a16:creationId xmlns:a16="http://schemas.microsoft.com/office/drawing/2014/main" id="{28C74F85-DE56-46DA-4A04-CB8D088E506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3251900" y="1951718"/>
            <a:ext cx="155448" cy="156152"/>
          </a:xfrm>
          <a:prstGeom prst="rect">
            <a:avLst/>
          </a:prstGeom>
        </xdr:spPr>
      </xdr:pic>
      <xdr:pic>
        <xdr:nvPicPr>
          <xdr:cNvPr id="29" name="Picture 28">
            <a:extLst>
              <a:ext uri="{FF2B5EF4-FFF2-40B4-BE49-F238E27FC236}">
                <a16:creationId xmlns:a16="http://schemas.microsoft.com/office/drawing/2014/main" id="{FD4AE34D-491C-342C-6029-E37F0852FD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251900" y="3127990"/>
            <a:ext cx="155448" cy="156152"/>
          </a:xfrm>
          <a:prstGeom prst="rect">
            <a:avLst/>
          </a:prstGeom>
        </xdr:spPr>
      </xdr:pic>
      <xdr:pic>
        <xdr:nvPicPr>
          <xdr:cNvPr id="31" name="Picture 30">
            <a:extLst>
              <a:ext uri="{FF2B5EF4-FFF2-40B4-BE49-F238E27FC236}">
                <a16:creationId xmlns:a16="http://schemas.microsoft.com/office/drawing/2014/main" id="{79B4E6DF-888F-7628-8AD5-11B8F2EC0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51900" y="3520550"/>
            <a:ext cx="155448" cy="156152"/>
          </a:xfrm>
          <a:prstGeom prst="rect">
            <a:avLst/>
          </a:prstGeom>
        </xdr:spPr>
      </xdr:pic>
      <xdr:pic>
        <xdr:nvPicPr>
          <xdr:cNvPr id="43" name="Picture 42">
            <a:extLst>
              <a:ext uri="{FF2B5EF4-FFF2-40B4-BE49-F238E27FC236}">
                <a16:creationId xmlns:a16="http://schemas.microsoft.com/office/drawing/2014/main" id="{8C67124F-E702-0EEE-1837-ECE19CEB01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51900" y="1168006"/>
            <a:ext cx="155448" cy="156152"/>
          </a:xfrm>
          <a:prstGeom prst="rect">
            <a:avLst/>
          </a:prstGeom>
        </xdr:spPr>
      </xdr:pic>
      <xdr:pic>
        <xdr:nvPicPr>
          <xdr:cNvPr id="44" name="Picture 43">
            <a:extLst>
              <a:ext uri="{FF2B5EF4-FFF2-40B4-BE49-F238E27FC236}">
                <a16:creationId xmlns:a16="http://schemas.microsoft.com/office/drawing/2014/main" id="{7F28733D-DE1D-109D-C055-23586192281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251900" y="4698230"/>
            <a:ext cx="155448" cy="156152"/>
          </a:xfrm>
          <a:prstGeom prst="rect">
            <a:avLst/>
          </a:prstGeom>
        </xdr:spPr>
      </xdr:pic>
      <xdr:pic>
        <xdr:nvPicPr>
          <xdr:cNvPr id="45" name="Picture 44">
            <a:extLst>
              <a:ext uri="{FF2B5EF4-FFF2-40B4-BE49-F238E27FC236}">
                <a16:creationId xmlns:a16="http://schemas.microsoft.com/office/drawing/2014/main" id="{0536C8A7-0ACD-EA8C-B98B-16042F4551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51900" y="2344278"/>
            <a:ext cx="155448" cy="156152"/>
          </a:xfrm>
          <a:prstGeom prst="rect">
            <a:avLst/>
          </a:prstGeom>
        </xdr:spPr>
      </xdr:pic>
      <xdr:pic>
        <xdr:nvPicPr>
          <xdr:cNvPr id="46" name="Picture 45">
            <a:extLst>
              <a:ext uri="{FF2B5EF4-FFF2-40B4-BE49-F238E27FC236}">
                <a16:creationId xmlns:a16="http://schemas.microsoft.com/office/drawing/2014/main" id="{9BAE08DC-07B2-4621-781D-80578D41995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251900" y="7050774"/>
            <a:ext cx="155448" cy="156152"/>
          </a:xfrm>
          <a:prstGeom prst="rect">
            <a:avLst/>
          </a:prstGeom>
        </xdr:spPr>
      </xdr:pic>
      <xdr:pic>
        <xdr:nvPicPr>
          <xdr:cNvPr id="48" name="Picture 47">
            <a:extLst>
              <a:ext uri="{FF2B5EF4-FFF2-40B4-BE49-F238E27FC236}">
                <a16:creationId xmlns:a16="http://schemas.microsoft.com/office/drawing/2014/main" id="{68100104-5DD0-B09D-10F7-893F302DE2E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3251900" y="1560566"/>
            <a:ext cx="155448" cy="155448"/>
          </a:xfrm>
          <a:prstGeom prst="rect">
            <a:avLst/>
          </a:prstGeom>
        </xdr:spPr>
      </xdr:pic>
      <xdr:pic>
        <xdr:nvPicPr>
          <xdr:cNvPr id="50" name="Picture 49">
            <a:extLst>
              <a:ext uri="{FF2B5EF4-FFF2-40B4-BE49-F238E27FC236}">
                <a16:creationId xmlns:a16="http://schemas.microsoft.com/office/drawing/2014/main" id="{F3C660B6-6994-07BA-C786-CBBBA679ABA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3251900" y="2932414"/>
            <a:ext cx="155448" cy="155448"/>
          </a:xfrm>
          <a:prstGeom prst="rect">
            <a:avLst/>
          </a:prstGeom>
        </xdr:spPr>
      </xdr:pic>
      <xdr:pic>
        <xdr:nvPicPr>
          <xdr:cNvPr id="52" name="Picture 51">
            <a:extLst>
              <a:ext uri="{FF2B5EF4-FFF2-40B4-BE49-F238E27FC236}">
                <a16:creationId xmlns:a16="http://schemas.microsoft.com/office/drawing/2014/main" id="{BDC47511-FD65-99C1-17E0-4B720F59793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3251900" y="4894510"/>
            <a:ext cx="155448" cy="155448"/>
          </a:xfrm>
          <a:prstGeom prst="rect">
            <a:avLst/>
          </a:prstGeom>
        </xdr:spPr>
      </xdr:pic>
      <xdr:pic>
        <xdr:nvPicPr>
          <xdr:cNvPr id="53" name="Picture 52">
            <a:extLst>
              <a:ext uri="{FF2B5EF4-FFF2-40B4-BE49-F238E27FC236}">
                <a16:creationId xmlns:a16="http://schemas.microsoft.com/office/drawing/2014/main" id="{45A6FF40-1009-1F77-291D-E1D5A53BE56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3251900" y="6462638"/>
            <a:ext cx="155448" cy="155448"/>
          </a:xfrm>
          <a:prstGeom prst="rect">
            <a:avLst/>
          </a:prstGeom>
        </xdr:spPr>
      </xdr:pic>
      <xdr:pic>
        <xdr:nvPicPr>
          <xdr:cNvPr id="55" name="Picture 54">
            <a:extLst>
              <a:ext uri="{FF2B5EF4-FFF2-40B4-BE49-F238E27FC236}">
                <a16:creationId xmlns:a16="http://schemas.microsoft.com/office/drawing/2014/main" id="{74AD69C8-1DE5-6BF8-9085-8DEBEB845F6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3251900" y="5678926"/>
            <a:ext cx="155448" cy="155448"/>
          </a:xfrm>
          <a:prstGeom prst="rect">
            <a:avLst/>
          </a:prstGeom>
        </xdr:spPr>
      </xdr:pic>
      <xdr:pic>
        <xdr:nvPicPr>
          <xdr:cNvPr id="57" name="Picture 56">
            <a:extLst>
              <a:ext uri="{FF2B5EF4-FFF2-40B4-BE49-F238E27FC236}">
                <a16:creationId xmlns:a16="http://schemas.microsoft.com/office/drawing/2014/main" id="{C81D6AF2-ED0C-8575-6C5D-7C5A7EAFB59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3251900" y="6267062"/>
            <a:ext cx="155448" cy="155448"/>
          </a:xfrm>
          <a:prstGeom prst="rect">
            <a:avLst/>
          </a:prstGeom>
        </xdr:spPr>
      </xdr:pic>
      <xdr:pic>
        <xdr:nvPicPr>
          <xdr:cNvPr id="59" name="Picture 58">
            <a:extLst>
              <a:ext uri="{FF2B5EF4-FFF2-40B4-BE49-F238E27FC236}">
                <a16:creationId xmlns:a16="http://schemas.microsoft.com/office/drawing/2014/main" id="{91836BB4-0F51-2936-58B4-5DAECCABE83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3251900" y="7247059"/>
            <a:ext cx="155448" cy="155448"/>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88900</xdr:colOff>
      <xdr:row>2</xdr:row>
      <xdr:rowOff>25400</xdr:rowOff>
    </xdr:from>
    <xdr:to>
      <xdr:col>17</xdr:col>
      <xdr:colOff>228600</xdr:colOff>
      <xdr:row>78</xdr:row>
      <xdr:rowOff>25400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3200" y="546100"/>
          <a:ext cx="9893300" cy="1207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dk1"/>
              </a:solidFill>
              <a:effectLst/>
              <a:latin typeface="+mn-lt"/>
              <a:ea typeface="+mn-ea"/>
              <a:cs typeface="+mn-cs"/>
            </a:rPr>
            <a:t>SINGLE-USER LICENSE AGREEMENT FOR JOURNALSHEET.COM SPREADSHEET </a:t>
          </a:r>
          <a:endParaRPr lang="en-US" sz="1800">
            <a:effectLst/>
          </a:endParaRPr>
        </a:p>
        <a:p>
          <a:br>
            <a:rPr lang="en-US" sz="1800" b="1">
              <a:solidFill>
                <a:schemeClr val="dk1"/>
              </a:solidFill>
              <a:effectLst/>
              <a:latin typeface="+mn-lt"/>
              <a:ea typeface="+mn-ea"/>
              <a:cs typeface="+mn-cs"/>
            </a:rPr>
          </a:br>
          <a:r>
            <a:rPr lang="en-US" sz="1800" b="1">
              <a:solidFill>
                <a:schemeClr val="dk1"/>
              </a:solidFill>
              <a:effectLst/>
              <a:latin typeface="+mn-lt"/>
              <a:ea typeface="+mn-ea"/>
              <a:cs typeface="+mn-cs"/>
            </a:rPr>
            <a:t>IMPORTANT </a:t>
          </a:r>
          <a:endParaRPr lang="en-US" sz="1800">
            <a:effectLst/>
          </a:endParaRPr>
        </a:p>
        <a:p>
          <a:br>
            <a:rPr lang="en-US" sz="1400" b="1">
              <a:solidFill>
                <a:schemeClr val="dk1"/>
              </a:solidFill>
              <a:effectLst/>
              <a:latin typeface="+mn-lt"/>
              <a:ea typeface="+mn-ea"/>
              <a:cs typeface="+mn-cs"/>
            </a:rPr>
          </a:br>
          <a:r>
            <a:rPr lang="en-US" sz="1400" b="1">
              <a:solidFill>
                <a:schemeClr val="dk1"/>
              </a:solidFill>
              <a:effectLst/>
              <a:latin typeface="+mn-lt"/>
              <a:ea typeface="+mn-ea"/>
              <a:cs typeface="+mn-cs"/>
            </a:rPr>
            <a:t>PLEASE READ THE TERMS AND CONDITIONS OF THIS LICENSE AGREEMENT CAREFULLY BEFORE USING THIS SOFTWARE</a:t>
          </a:r>
          <a:endParaRPr lang="en-US" sz="1400">
            <a:effectLst/>
          </a:endParaRPr>
        </a:p>
        <a:p>
          <a:r>
            <a:rPr lang="en-US" sz="1100">
              <a:solidFill>
                <a:schemeClr val="dk1"/>
              </a:solidFill>
              <a:effectLst/>
              <a:latin typeface="+mn-lt"/>
              <a:ea typeface="+mn-ea"/>
              <a:cs typeface="+mn-cs"/>
            </a:rPr>
            <a:t>This is a legal agreement between you (either an individual or a single entity) and JOURNALSHEET.COM for the JOURNALSHEET.COM SPREADSHEET identified above which may include associated software components, media, printed materials, and "online" or electronic documentation ("JOURNALSHEET.COM SPREADSHEET "). By installing, copying, or otherwise using the JOURNALSHEET.COM SPREADSHEET, you agree to be bound by the terms of this agreement. This license agreement represents the entire agreement concerning the program between you and JOURNALSHEET.COM, (referred to as "licenser"), and it supersedes any prior proposal, representation, or understanding between the parties. If you do not agree to the terms of this agreement, do not install or use the JOURNALSHEET.COM SPREADSHEET.</a:t>
          </a:r>
          <a:endParaRPr lang="en-US">
            <a:effectLst/>
          </a:endParaRPr>
        </a:p>
        <a:p>
          <a:r>
            <a:rPr lang="en-US" sz="1100">
              <a:solidFill>
                <a:schemeClr val="dk1"/>
              </a:solidFill>
              <a:effectLst/>
              <a:latin typeface="+mn-lt"/>
              <a:ea typeface="+mn-ea"/>
              <a:cs typeface="+mn-cs"/>
            </a:rPr>
            <a:t>The JOURNALSHEET.COM SPREADSHEET is protected by copyright laws and international copyright treaties, as well as other intellectual property laws and treaties. The JOURNALSHEET.COM SPREADSHEET is licensed, not sold.</a:t>
          </a:r>
        </a:p>
        <a:p>
          <a:endParaRPr lang="en-US">
            <a:effectLst/>
          </a:endParaRPr>
        </a:p>
        <a:p>
          <a:r>
            <a:rPr lang="en-US" sz="1100" b="1">
              <a:solidFill>
                <a:schemeClr val="dk1"/>
              </a:solidFill>
              <a:effectLst/>
              <a:latin typeface="+mn-lt"/>
              <a:ea typeface="+mn-ea"/>
              <a:cs typeface="+mn-cs"/>
            </a:rPr>
            <a:t>1. GRANT OF LICENSE TO MULTI-USER.</a:t>
          </a:r>
          <a:endParaRPr lang="en-US">
            <a:effectLst/>
          </a:endParaRPr>
        </a:p>
        <a:p>
          <a:r>
            <a:rPr lang="en-US" sz="1100">
              <a:solidFill>
                <a:schemeClr val="dk1"/>
              </a:solidFill>
              <a:effectLst/>
              <a:latin typeface="+mn-lt"/>
              <a:ea typeface="+mn-ea"/>
              <a:cs typeface="+mn-cs"/>
            </a:rPr>
            <a:t>The JOURNALSHEET.COM SPREADSHEET is licensed as follows:</a:t>
          </a:r>
          <a:endParaRPr lang="en-US">
            <a:effectLst/>
          </a:endParaRPr>
        </a:p>
        <a:p>
          <a:r>
            <a:rPr lang="en-US" sz="1100">
              <a:solidFill>
                <a:schemeClr val="dk1"/>
              </a:solidFill>
              <a:effectLst/>
              <a:latin typeface="+mn-lt"/>
              <a:ea typeface="+mn-ea"/>
              <a:cs typeface="+mn-cs"/>
            </a:rPr>
            <a:t>(a) Installation and Use.</a:t>
          </a:r>
          <a:endParaRPr lang="en-US">
            <a:effectLst/>
          </a:endParaRPr>
        </a:p>
        <a:p>
          <a:r>
            <a:rPr lang="en-US" sz="1100">
              <a:solidFill>
                <a:schemeClr val="dk1"/>
              </a:solidFill>
              <a:effectLst/>
              <a:latin typeface="+mn-lt"/>
              <a:ea typeface="+mn-ea"/>
              <a:cs typeface="+mn-cs"/>
            </a:rPr>
            <a:t>JOURNALSHEET.COM grants you the right to install and use copies of the JOURNALSHEET.COM SPREADSHEET on computers within one particular specified location or on a network at a single site (e.g. office) and your running validly licensed copies of the office suite [Microsoft Excel 2007</a:t>
          </a:r>
          <a:r>
            <a:rPr lang="en-US" sz="1100" baseline="0">
              <a:solidFill>
                <a:schemeClr val="dk1"/>
              </a:solidFill>
              <a:effectLst/>
              <a:latin typeface="+mn-lt"/>
              <a:ea typeface="+mn-ea"/>
              <a:cs typeface="+mn-cs"/>
            </a:rPr>
            <a:t> - 2019</a:t>
          </a:r>
          <a:r>
            <a:rPr lang="en-US" sz="1100">
              <a:solidFill>
                <a:schemeClr val="dk1"/>
              </a:solidFill>
              <a:effectLst/>
              <a:latin typeface="+mn-lt"/>
              <a:ea typeface="+mn-ea"/>
              <a:cs typeface="+mn-cs"/>
            </a:rPr>
            <a:t>) and Windows Operating System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[Windows NT, Windows 2003, Windows XP, Windows Vista, Windows 7, Windows 8, Windows 10 ] and</a:t>
          </a:r>
          <a:r>
            <a:rPr lang="en-US" sz="1100" baseline="0">
              <a:solidFill>
                <a:schemeClr val="dk1"/>
              </a:solidFill>
              <a:effectLst/>
              <a:latin typeface="+mn-lt"/>
              <a:ea typeface="+mn-ea"/>
              <a:cs typeface="+mn-cs"/>
            </a:rPr>
            <a:t> Mac Operating System </a:t>
          </a:r>
          <a:r>
            <a:rPr lang="en-US" sz="1100">
              <a:solidFill>
                <a:schemeClr val="dk1"/>
              </a:solidFill>
              <a:effectLst/>
              <a:latin typeface="+mn-lt"/>
              <a:ea typeface="+mn-ea"/>
              <a:cs typeface="+mn-cs"/>
            </a:rPr>
            <a:t>for which the JOURNALSHEET.COM SPREADSHEET was designed.</a:t>
          </a:r>
          <a:endParaRPr lang="en-US">
            <a:effectLst/>
          </a:endParaRPr>
        </a:p>
        <a:p>
          <a:r>
            <a:rPr lang="en-US" sz="1100">
              <a:solidFill>
                <a:schemeClr val="dk1"/>
              </a:solidFill>
              <a:effectLst/>
              <a:latin typeface="+mn-lt"/>
              <a:ea typeface="+mn-ea"/>
              <a:cs typeface="+mn-cs"/>
            </a:rPr>
            <a:t>(b) Backup Copies.</a:t>
          </a:r>
          <a:endParaRPr lang="en-US">
            <a:effectLst/>
          </a:endParaRPr>
        </a:p>
        <a:p>
          <a:r>
            <a:rPr lang="en-US" sz="1100">
              <a:solidFill>
                <a:schemeClr val="dk1"/>
              </a:solidFill>
              <a:effectLst/>
              <a:latin typeface="+mn-lt"/>
              <a:ea typeface="+mn-ea"/>
              <a:cs typeface="+mn-cs"/>
            </a:rPr>
            <a:t>You may also make copies of the JOURNALSHEET.COM SPREADSHEET as may be necessary for backup and archival purposes.</a:t>
          </a:r>
        </a:p>
        <a:p>
          <a:endParaRPr lang="en-US">
            <a:effectLst/>
          </a:endParaRPr>
        </a:p>
        <a:p>
          <a:r>
            <a:rPr lang="en-US" sz="1100" b="1">
              <a:solidFill>
                <a:schemeClr val="dk1"/>
              </a:solidFill>
              <a:effectLst/>
              <a:latin typeface="+mn-lt"/>
              <a:ea typeface="+mn-ea"/>
              <a:cs typeface="+mn-cs"/>
            </a:rPr>
            <a:t>2. DESCRIPTION OF OTHER RIGHTS AND LIMITATIONS.</a:t>
          </a:r>
          <a:endParaRPr lang="en-US">
            <a:effectLst/>
          </a:endParaRPr>
        </a:p>
        <a:p>
          <a:r>
            <a:rPr lang="en-US" sz="1100">
              <a:solidFill>
                <a:schemeClr val="dk1"/>
              </a:solidFill>
              <a:effectLst/>
              <a:latin typeface="+mn-lt"/>
              <a:ea typeface="+mn-ea"/>
              <a:cs typeface="+mn-cs"/>
            </a:rPr>
            <a:t>(a) Maintenance of Copyright Notices.</a:t>
          </a:r>
          <a:endParaRPr lang="en-US">
            <a:effectLst/>
          </a:endParaRPr>
        </a:p>
        <a:p>
          <a:r>
            <a:rPr lang="en-US" sz="1100">
              <a:solidFill>
                <a:schemeClr val="dk1"/>
              </a:solidFill>
              <a:effectLst/>
              <a:latin typeface="+mn-lt"/>
              <a:ea typeface="+mn-ea"/>
              <a:cs typeface="+mn-cs"/>
            </a:rPr>
            <a:t>You must not remove or alter any copyright notices on any and all copies of the JOURNALSHEET.COM SPREADSHEET.</a:t>
          </a:r>
          <a:endParaRPr lang="en-US">
            <a:effectLst/>
          </a:endParaRPr>
        </a:p>
        <a:p>
          <a:r>
            <a:rPr lang="en-US" sz="1100">
              <a:solidFill>
                <a:schemeClr val="dk1"/>
              </a:solidFill>
              <a:effectLst/>
              <a:latin typeface="+mn-lt"/>
              <a:ea typeface="+mn-ea"/>
              <a:cs typeface="+mn-cs"/>
            </a:rPr>
            <a:t>(b) Distribution.</a:t>
          </a:r>
          <a:endParaRPr lang="en-US">
            <a:effectLst/>
          </a:endParaRPr>
        </a:p>
        <a:p>
          <a:r>
            <a:rPr lang="en-US" sz="1100">
              <a:solidFill>
                <a:schemeClr val="dk1"/>
              </a:solidFill>
              <a:effectLst/>
              <a:latin typeface="+mn-lt"/>
              <a:ea typeface="+mn-ea"/>
              <a:cs typeface="+mn-cs"/>
            </a:rPr>
            <a:t>You may not distribute registered copies of the JOURNALSHEET.COM SPREADSHEET to third parties. Evaluation versions available for download from JOURNALSHEET.COM's websites may be freely distributed.</a:t>
          </a:r>
          <a:endParaRPr lang="en-US">
            <a:effectLst/>
          </a:endParaRPr>
        </a:p>
        <a:p>
          <a:r>
            <a:rPr lang="en-US" sz="1100">
              <a:solidFill>
                <a:schemeClr val="dk1"/>
              </a:solidFill>
              <a:effectLst/>
              <a:latin typeface="+mn-lt"/>
              <a:ea typeface="+mn-ea"/>
              <a:cs typeface="+mn-cs"/>
            </a:rPr>
            <a:t>(c) Prohibition on Reverse Engineering, Decompilation, and Disassembly.</a:t>
          </a:r>
          <a:endParaRPr lang="en-US">
            <a:effectLst/>
          </a:endParaRPr>
        </a:p>
        <a:p>
          <a:r>
            <a:rPr lang="en-US" sz="1100">
              <a:solidFill>
                <a:schemeClr val="dk1"/>
              </a:solidFill>
              <a:effectLst/>
              <a:latin typeface="+mn-lt"/>
              <a:ea typeface="+mn-ea"/>
              <a:cs typeface="+mn-cs"/>
            </a:rPr>
            <a:t>You may not reverse engineer, decompile, or disassemble the JOURNALSHEET.COM SPREADSHEET, except and only to the extent that such activity is expressly permitted by applicable law notwithstanding this limitation.</a:t>
          </a:r>
          <a:endParaRPr lang="en-US">
            <a:effectLst/>
          </a:endParaRPr>
        </a:p>
        <a:p>
          <a:r>
            <a:rPr lang="en-US" sz="1100">
              <a:solidFill>
                <a:schemeClr val="dk1"/>
              </a:solidFill>
              <a:effectLst/>
              <a:latin typeface="+mn-lt"/>
              <a:ea typeface="+mn-ea"/>
              <a:cs typeface="+mn-cs"/>
            </a:rPr>
            <a:t>(d) Rental.</a:t>
          </a:r>
          <a:endParaRPr lang="en-US">
            <a:effectLst/>
          </a:endParaRPr>
        </a:p>
        <a:p>
          <a:r>
            <a:rPr lang="en-US" sz="1100">
              <a:solidFill>
                <a:schemeClr val="dk1"/>
              </a:solidFill>
              <a:effectLst/>
              <a:latin typeface="+mn-lt"/>
              <a:ea typeface="+mn-ea"/>
              <a:cs typeface="+mn-cs"/>
            </a:rPr>
            <a:t>You may not rent, lease, or lend the JOURNALSHEET.COM SPREADSHEET.</a:t>
          </a:r>
          <a:endParaRPr lang="en-US">
            <a:effectLst/>
          </a:endParaRPr>
        </a:p>
        <a:p>
          <a:r>
            <a:rPr lang="en-US" sz="1100">
              <a:solidFill>
                <a:schemeClr val="dk1"/>
              </a:solidFill>
              <a:effectLst/>
              <a:latin typeface="+mn-lt"/>
              <a:ea typeface="+mn-ea"/>
              <a:cs typeface="+mn-cs"/>
            </a:rPr>
            <a:t>(e) Support Services.</a:t>
          </a:r>
          <a:endParaRPr lang="en-US">
            <a:effectLst/>
          </a:endParaRPr>
        </a:p>
        <a:p>
          <a:r>
            <a:rPr lang="en-US" sz="1100">
              <a:solidFill>
                <a:schemeClr val="dk1"/>
              </a:solidFill>
              <a:effectLst/>
              <a:latin typeface="+mn-lt"/>
              <a:ea typeface="+mn-ea"/>
              <a:cs typeface="+mn-cs"/>
            </a:rPr>
            <a:t>JOURNALSHEET.COM may provide you with support services related to the JOURNALSHEET.COM SPREADSHEET ("Support Services"). Any supplemental software code provided to you as part of the Support Services shall be considered part of the JOURNALSHEET.COM SPREADSHEET and subject to the terms and conditions of this agreement.</a:t>
          </a:r>
          <a:endParaRPr lang="en-US">
            <a:effectLst/>
          </a:endParaRPr>
        </a:p>
        <a:p>
          <a:r>
            <a:rPr lang="en-US" sz="1100">
              <a:solidFill>
                <a:schemeClr val="dk1"/>
              </a:solidFill>
              <a:effectLst/>
              <a:latin typeface="+mn-lt"/>
              <a:ea typeface="+mn-ea"/>
              <a:cs typeface="+mn-cs"/>
            </a:rPr>
            <a:t>(f) Compliance with Applicable Laws.</a:t>
          </a:r>
          <a:endParaRPr lang="en-US">
            <a:effectLst/>
          </a:endParaRPr>
        </a:p>
        <a:p>
          <a:r>
            <a:rPr lang="en-US" sz="1100">
              <a:solidFill>
                <a:schemeClr val="dk1"/>
              </a:solidFill>
              <a:effectLst/>
              <a:latin typeface="+mn-lt"/>
              <a:ea typeface="+mn-ea"/>
              <a:cs typeface="+mn-cs"/>
            </a:rPr>
            <a:t>You must comply with all applicable laws regarding use of the JOURNALSHEET.COM SPREADSHEET.</a:t>
          </a:r>
        </a:p>
        <a:p>
          <a:endParaRPr lang="en-US">
            <a:effectLst/>
          </a:endParaRPr>
        </a:p>
        <a:p>
          <a:r>
            <a:rPr lang="en-US" sz="1100" b="1">
              <a:solidFill>
                <a:schemeClr val="dk1"/>
              </a:solidFill>
              <a:effectLst/>
              <a:latin typeface="+mn-lt"/>
              <a:ea typeface="+mn-ea"/>
              <a:cs typeface="+mn-cs"/>
            </a:rPr>
            <a:t>3. TERMINATION</a:t>
          </a:r>
          <a:endParaRPr lang="en-US">
            <a:effectLst/>
          </a:endParaRPr>
        </a:p>
        <a:p>
          <a:r>
            <a:rPr lang="en-US" sz="1100">
              <a:solidFill>
                <a:schemeClr val="dk1"/>
              </a:solidFill>
              <a:effectLst/>
              <a:latin typeface="+mn-lt"/>
              <a:ea typeface="+mn-ea"/>
              <a:cs typeface="+mn-cs"/>
            </a:rPr>
            <a:t>Without prejudice to any other rights, JOURNALSHEET.COM may terminate this agreement if you fail to comply with the terms and conditions of this agreement. In such event, you must destroy all copies of the JOURNALSHEET.COM SPREADSHEET in your possession.</a:t>
          </a:r>
        </a:p>
        <a:p>
          <a:endParaRPr lang="en-US">
            <a:effectLst/>
          </a:endParaRPr>
        </a:p>
        <a:p>
          <a:r>
            <a:rPr lang="en-US" sz="1100" b="1">
              <a:solidFill>
                <a:schemeClr val="dk1"/>
              </a:solidFill>
              <a:effectLst/>
              <a:latin typeface="+mn-lt"/>
              <a:ea typeface="+mn-ea"/>
              <a:cs typeface="+mn-cs"/>
            </a:rPr>
            <a:t>4. COPYRIGHT</a:t>
          </a:r>
          <a:endParaRPr lang="en-US">
            <a:effectLst/>
          </a:endParaRPr>
        </a:p>
        <a:p>
          <a:r>
            <a:rPr lang="en-US" sz="1100">
              <a:solidFill>
                <a:schemeClr val="dk1"/>
              </a:solidFill>
              <a:effectLst/>
              <a:latin typeface="+mn-lt"/>
              <a:ea typeface="+mn-ea"/>
              <a:cs typeface="+mn-cs"/>
            </a:rPr>
            <a:t>All title, including but not limited to copyrights, in and to the JOURNALSHEET.COM SPREADSHEET and any copies thereof are owned by JOURNALSHEET.COM or its suppliers. All title and intellectual property rights in and to the content which may be accessed through use of the JOURNALSHEET.COM SPREADSHEET is the property of the respective content owner and may be protected by applicable copyright or other intellectual property laws and treaties. This agreement grants you no rights to use such content. All rights not expressly granted are reserved by JOURNALSHEET.COM.</a:t>
          </a:r>
        </a:p>
        <a:p>
          <a:endParaRPr lang="en-US">
            <a:effectLst/>
          </a:endParaRPr>
        </a:p>
        <a:p>
          <a:r>
            <a:rPr lang="en-US" sz="1100" b="1">
              <a:solidFill>
                <a:schemeClr val="dk1"/>
              </a:solidFill>
              <a:effectLst/>
              <a:latin typeface="+mn-lt"/>
              <a:ea typeface="+mn-ea"/>
              <a:cs typeface="+mn-cs"/>
            </a:rPr>
            <a:t>5. NO WARRANTIES</a:t>
          </a:r>
          <a:endParaRPr lang="en-US">
            <a:effectLst/>
          </a:endParaRPr>
        </a:p>
        <a:p>
          <a:r>
            <a:rPr lang="en-US" sz="1100">
              <a:solidFill>
                <a:schemeClr val="dk1"/>
              </a:solidFill>
              <a:effectLst/>
              <a:latin typeface="+mn-lt"/>
              <a:ea typeface="+mn-ea"/>
              <a:cs typeface="+mn-cs"/>
            </a:rPr>
            <a:t>JOURNALSHEET.COM expressly disclaims any warranty for the JOURNALSHEET.COM SPREADSHEET. The JOURNALSHEET.COM SPREADSHEET is provided 'As Is' without any express or implied warranty of any kind, including but not limited to any warranties of merchantability, noninfringement, or fitness of a particular purpose. JOURNALSHEET.COM does not warrant or assume responsibility for the accuracy or completeness of any information, text, graphics, links or other items contained within the JOURNALSHEET.COM SPREADSHEET. JOURNALSHEET.COM makes no warranties respecting any harm that may be caused by the transmission of a computer virus, worm, time bomb, logic bomb, or other such computer program. JOURNALSHEET.COM further expressly disclaims any warranty or representation to Authorized Users or to any third party.</a:t>
          </a:r>
        </a:p>
        <a:p>
          <a:endParaRPr lang="en-US">
            <a:effectLst/>
          </a:endParaRPr>
        </a:p>
        <a:p>
          <a:r>
            <a:rPr lang="en-US" sz="1100" b="1">
              <a:solidFill>
                <a:schemeClr val="dk1"/>
              </a:solidFill>
              <a:effectLst/>
              <a:latin typeface="+mn-lt"/>
              <a:ea typeface="+mn-ea"/>
              <a:cs typeface="+mn-cs"/>
            </a:rPr>
            <a:t>6. LIMITATION OF LIABILITY</a:t>
          </a:r>
          <a:endParaRPr lang="en-US">
            <a:effectLst/>
          </a:endParaRPr>
        </a:p>
        <a:p>
          <a:r>
            <a:rPr lang="en-US" sz="1100">
              <a:solidFill>
                <a:schemeClr val="dk1"/>
              </a:solidFill>
              <a:effectLst/>
              <a:latin typeface="+mn-lt"/>
              <a:ea typeface="+mn-ea"/>
              <a:cs typeface="+mn-cs"/>
            </a:rPr>
            <a:t>In no event shall JOURNALSHEET.COM be liable for any damages (including, without limitation, lost profits, business interruption, or lost information) rising out of 'Authorized Users' use of or inability to use the JOURNALSHEET.COM SPREADSHEET, even if JOURNALSHEET.COM has been advised of the possibility of such damages. In no event will JOURNALSHEET.COM be liable for loss of data or for indirect, special, incidental, consequential (including lost profit), or other damages based in contract, tort or otherwise. JOURNALSHEET.COM shall have no liability with respect to the content of the JOURNALSHEET.COM SPREADSHEET or any part thereof, including but not limited to errors or omissions contained therein, libel, infringements of rights of publicity, privacy, trademark rights, business interruption, personal injury, loss of privacy, moral rights or the disclosure of confidential information.</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279400</xdr:colOff>
      <xdr:row>3</xdr:row>
      <xdr:rowOff>123824</xdr:rowOff>
    </xdr:from>
    <xdr:to>
      <xdr:col>11</xdr:col>
      <xdr:colOff>819150</xdr:colOff>
      <xdr:row>9</xdr:row>
      <xdr:rowOff>47868</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9175" y="695324"/>
          <a:ext cx="2501900" cy="1248019"/>
        </a:xfrm>
        <a:prstGeom prst="rect">
          <a:avLst/>
        </a:prstGeom>
      </xdr:spPr>
    </xdr:pic>
    <xdr:clientData/>
  </xdr:twoCellAnchor>
  <xdr:twoCellAnchor>
    <xdr:from>
      <xdr:col>12</xdr:col>
      <xdr:colOff>127000</xdr:colOff>
      <xdr:row>2</xdr:row>
      <xdr:rowOff>57150</xdr:rowOff>
    </xdr:from>
    <xdr:to>
      <xdr:col>22</xdr:col>
      <xdr:colOff>177800</xdr:colOff>
      <xdr:row>13</xdr:row>
      <xdr:rowOff>19050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8680450" y="577850"/>
          <a:ext cx="6146800" cy="210185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sym typeface="Wingdings"/>
            </a:rPr>
            <a:t></a:t>
          </a:r>
          <a:r>
            <a:rPr lang="en-US" sz="1100" b="1">
              <a:solidFill>
                <a:schemeClr val="dk1"/>
              </a:solidFill>
              <a:effectLst/>
              <a:latin typeface="+mn-lt"/>
              <a:ea typeface="+mn-ea"/>
              <a:cs typeface="+mn-cs"/>
            </a:rPr>
            <a:t>Click on BUY NOW button </a:t>
          </a:r>
          <a:r>
            <a:rPr lang="en-US" sz="1100">
              <a:solidFill>
                <a:schemeClr val="dk1"/>
              </a:solidFill>
              <a:effectLst/>
              <a:latin typeface="+mn-lt"/>
              <a:ea typeface="+mn-ea"/>
              <a:cs typeface="+mn-cs"/>
            </a:rPr>
            <a:t>to bring you to paypal website. You don't need to open a paypal account. You can pay with or without paypal account using paypal balance or credit card.</a:t>
          </a:r>
        </a:p>
        <a:p>
          <a:endParaRPr lang="en-US">
            <a:effectLst/>
          </a:endParaRPr>
        </a:p>
        <a:p>
          <a:r>
            <a:rPr lang="en-US" sz="1100">
              <a:solidFill>
                <a:schemeClr val="dk1"/>
              </a:solidFill>
              <a:effectLst/>
              <a:latin typeface="+mn-lt"/>
              <a:ea typeface="+mn-ea"/>
              <a:cs typeface="+mn-cs"/>
              <a:sym typeface="Wingdings"/>
            </a:rPr>
            <a:t></a:t>
          </a:r>
          <a:r>
            <a:rPr lang="en-US" sz="1100">
              <a:solidFill>
                <a:schemeClr val="dk1"/>
              </a:solidFill>
              <a:effectLst/>
              <a:latin typeface="+mn-lt"/>
              <a:ea typeface="+mn-ea"/>
              <a:cs typeface="+mn-cs"/>
            </a:rPr>
            <a:t>After successful transaction</a:t>
          </a:r>
          <a:r>
            <a:rPr lang="en-US" sz="1100" b="1">
              <a:solidFill>
                <a:schemeClr val="dk1"/>
              </a:solidFill>
              <a:effectLst/>
              <a:latin typeface="+mn-lt"/>
              <a:ea typeface="+mn-ea"/>
              <a:cs typeface="+mn-cs"/>
            </a:rPr>
            <a:t>, you will receive an email to download the file </a:t>
          </a:r>
          <a:r>
            <a:rPr lang="en-US" sz="1100">
              <a:solidFill>
                <a:schemeClr val="dk1"/>
              </a:solidFill>
              <a:effectLst/>
              <a:latin typeface="+mn-lt"/>
              <a:ea typeface="+mn-ea"/>
              <a:cs typeface="+mn-cs"/>
            </a:rPr>
            <a:t>to your paypal email address automatically</a:t>
          </a:r>
        </a:p>
        <a:p>
          <a:endParaRPr lang="en-US">
            <a:effectLst/>
          </a:endParaRPr>
        </a:p>
        <a:p>
          <a:r>
            <a:rPr lang="en-US" sz="1100">
              <a:solidFill>
                <a:schemeClr val="dk1"/>
              </a:solidFill>
              <a:effectLst/>
              <a:latin typeface="+mn-lt"/>
              <a:ea typeface="+mn-ea"/>
              <a:cs typeface="+mn-cs"/>
              <a:sym typeface="Wingdings"/>
            </a:rPr>
            <a:t></a:t>
          </a:r>
          <a:r>
            <a:rPr lang="en-US" sz="1100" b="1">
              <a:solidFill>
                <a:schemeClr val="dk1"/>
              </a:solidFill>
              <a:effectLst/>
              <a:latin typeface="+mn-lt"/>
              <a:ea typeface="+mn-ea"/>
              <a:cs typeface="+mn-cs"/>
            </a:rPr>
            <a:t>Check your SPAM folder</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if you don't receive the email in your inbox folder </a:t>
          </a:r>
          <a:r>
            <a:rPr lang="en-US" sz="1100">
              <a:solidFill>
                <a:schemeClr val="dk1"/>
              </a:solidFill>
              <a:effectLst/>
              <a:latin typeface="+mn-lt"/>
              <a:ea typeface="+mn-ea"/>
              <a:cs typeface="+mn-cs"/>
            </a:rPr>
            <a:t>after 15 minutes. Sometimes, security of your email system will direct the email that contains link to spam folder</a:t>
          </a:r>
        </a:p>
        <a:p>
          <a:endParaRPr lang="en-US">
            <a:effectLst/>
          </a:endParaRPr>
        </a:p>
        <a:p>
          <a:r>
            <a:rPr lang="en-US" sz="1100">
              <a:solidFill>
                <a:schemeClr val="dk1"/>
              </a:solidFill>
              <a:effectLst/>
              <a:latin typeface="+mn-lt"/>
              <a:ea typeface="+mn-ea"/>
              <a:cs typeface="+mn-cs"/>
              <a:sym typeface="Wingdings"/>
            </a:rPr>
            <a:t></a:t>
          </a:r>
          <a:r>
            <a:rPr lang="en-US" sz="1100">
              <a:solidFill>
                <a:schemeClr val="dk1"/>
              </a:solidFill>
              <a:effectLst/>
              <a:latin typeface="+mn-lt"/>
              <a:ea typeface="+mn-ea"/>
              <a:cs typeface="+mn-cs"/>
            </a:rPr>
            <a:t>Email us at </a:t>
          </a:r>
          <a:r>
            <a:rPr lang="en-US" sz="1100" b="1">
              <a:solidFill>
                <a:schemeClr val="dk1"/>
              </a:solidFill>
              <a:effectLst/>
              <a:latin typeface="+mn-lt"/>
              <a:ea typeface="+mn-ea"/>
              <a:cs typeface="+mn-cs"/>
            </a:rPr>
            <a:t>support@journalsheet.com</a:t>
          </a:r>
          <a:r>
            <a:rPr lang="en-US" sz="1100">
              <a:solidFill>
                <a:schemeClr val="dk1"/>
              </a:solidFill>
              <a:effectLst/>
              <a:latin typeface="+mn-lt"/>
              <a:ea typeface="+mn-ea"/>
              <a:cs typeface="+mn-cs"/>
            </a:rPr>
            <a:t> if you still don't receive it or you have issue on downloading the file</a:t>
          </a:r>
          <a:endParaRPr lang="en-US">
            <a:effectLst/>
          </a:endParaRPr>
        </a:p>
        <a:p>
          <a:endParaRPr lang="en-US" sz="1100"/>
        </a:p>
      </xdr:txBody>
    </xdr:sp>
    <xdr:clientData/>
  </xdr:twoCellAnchor>
  <xdr:twoCellAnchor>
    <xdr:from>
      <xdr:col>11</xdr:col>
      <xdr:colOff>838200</xdr:colOff>
      <xdr:row>3</xdr:row>
      <xdr:rowOff>12700</xdr:rowOff>
    </xdr:from>
    <xdr:to>
      <xdr:col>12</xdr:col>
      <xdr:colOff>196850</xdr:colOff>
      <xdr:row>5</xdr:row>
      <xdr:rowOff>12700</xdr:rowOff>
    </xdr:to>
    <xdr:sp macro="" textlink="">
      <xdr:nvSpPr>
        <xdr:cNvPr id="4" name="Chevron 3">
          <a:extLst>
            <a:ext uri="{FF2B5EF4-FFF2-40B4-BE49-F238E27FC236}">
              <a16:creationId xmlns:a16="http://schemas.microsoft.com/office/drawing/2014/main" id="{00000000-0008-0000-0500-000004000000}"/>
            </a:ext>
          </a:extLst>
        </xdr:cNvPr>
        <xdr:cNvSpPr/>
      </xdr:nvSpPr>
      <xdr:spPr>
        <a:xfrm flipH="1">
          <a:off x="8439150" y="596900"/>
          <a:ext cx="311150" cy="552450"/>
        </a:xfrm>
        <a:prstGeom prst="chevron">
          <a:avLst/>
        </a:prstGeom>
        <a:solidFill>
          <a:schemeClr val="accent2">
            <a:lumMod val="50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journalsheet.com/product/js843-ss-xl-%e2%97%89-club-world-cup-2025-predictor-game" TargetMode="External"/><Relationship Id="rId1" Type="http://schemas.openxmlformats.org/officeDocument/2006/relationships/hyperlink" Target="https://journalsheet.com/product-category/sport-spreadsheets"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B116"/>
  <sheetViews>
    <sheetView showGridLines="0" workbookViewId="0">
      <pane ySplit="7" topLeftCell="A8" activePane="bottomLeft" state="frozen"/>
      <selection pane="bottomLeft" activeCell="AB2" sqref="AB2"/>
    </sheetView>
  </sheetViews>
  <sheetFormatPr defaultColWidth="8.85546875" defaultRowHeight="15" x14ac:dyDescent="0.2"/>
  <cols>
    <col min="1" max="1" width="1.5703125" style="1" customWidth="1"/>
    <col min="2" max="2" width="45.7109375" style="5" customWidth="1"/>
    <col min="3" max="3" width="45.7109375" style="1" customWidth="1"/>
    <col min="4" max="5" width="10.7109375" style="1" customWidth="1"/>
    <col min="6" max="6" width="3.140625" style="140" customWidth="1"/>
    <col min="7" max="7" width="8.85546875" style="1" customWidth="1"/>
    <col min="8" max="8" width="1.5703125" style="1" customWidth="1"/>
    <col min="9" max="9" width="0.85546875" style="38" customWidth="1"/>
    <col min="10" max="10" width="1.5703125" style="1" customWidth="1"/>
    <col min="11" max="11" width="2.5703125" style="1" customWidth="1"/>
    <col min="12" max="12" width="24.5703125" style="1" customWidth="1"/>
    <col min="13" max="13" width="10.28515625" style="1" customWidth="1"/>
    <col min="14" max="23" width="8.85546875" style="1"/>
    <col min="24" max="24" width="16.42578125" style="1" customWidth="1"/>
    <col min="25" max="16384" width="8.85546875" style="1"/>
  </cols>
  <sheetData>
    <row r="1" spans="1:106" s="125" customFormat="1" ht="5.45" customHeight="1" x14ac:dyDescent="0.25">
      <c r="B1" s="126"/>
      <c r="C1" s="127"/>
      <c r="D1" s="127"/>
      <c r="E1" s="127"/>
      <c r="F1" s="138"/>
      <c r="G1" s="128"/>
      <c r="J1" s="128"/>
      <c r="K1" s="126"/>
      <c r="L1" s="126"/>
      <c r="M1" s="126"/>
      <c r="U1" s="129"/>
      <c r="V1" s="129"/>
      <c r="W1" s="129"/>
      <c r="X1" s="129"/>
      <c r="Y1" s="129"/>
      <c r="Z1" s="129"/>
      <c r="AA1" s="130"/>
      <c r="AB1" s="130"/>
      <c r="AC1" s="130"/>
      <c r="AD1" s="131"/>
      <c r="AE1" s="132"/>
      <c r="AF1" s="133"/>
      <c r="CY1" s="129"/>
      <c r="CZ1" s="129"/>
      <c r="DA1" s="129"/>
      <c r="DB1" s="129"/>
    </row>
    <row r="2" spans="1:106" ht="36" x14ac:dyDescent="0.2">
      <c r="B2" s="2" t="s">
        <v>0</v>
      </c>
      <c r="C2" s="3"/>
      <c r="D2" s="3"/>
      <c r="E2" s="3"/>
      <c r="F2" s="139"/>
      <c r="G2" s="4"/>
      <c r="J2" s="4"/>
      <c r="K2" s="4"/>
      <c r="L2" s="4"/>
      <c r="M2" s="4"/>
      <c r="N2" s="4"/>
      <c r="O2" s="4"/>
      <c r="P2" s="4"/>
      <c r="Q2" s="4"/>
      <c r="R2" s="4"/>
      <c r="S2" s="4"/>
      <c r="T2" s="4"/>
      <c r="U2" s="4"/>
      <c r="V2" s="4"/>
      <c r="W2" s="4"/>
      <c r="X2" s="4"/>
      <c r="Y2" s="4"/>
      <c r="Z2" s="4"/>
      <c r="AA2" s="7"/>
      <c r="AB2" s="7"/>
      <c r="AC2" s="7"/>
      <c r="AD2" s="8"/>
      <c r="AE2" s="9"/>
      <c r="AF2" s="10"/>
      <c r="CY2" s="11"/>
      <c r="CZ2" s="11"/>
      <c r="DA2" s="11"/>
      <c r="DB2" s="11"/>
    </row>
    <row r="3" spans="1:106" ht="5.0999999999999996" customHeight="1" x14ac:dyDescent="0.2"/>
    <row r="4" spans="1:106" ht="15" customHeight="1" x14ac:dyDescent="0.2">
      <c r="B4" s="144" t="s">
        <v>647</v>
      </c>
      <c r="C4" s="184">
        <v>0</v>
      </c>
      <c r="D4" s="224" t="s">
        <v>648</v>
      </c>
      <c r="E4" s="225"/>
      <c r="G4" s="143"/>
      <c r="K4" s="40" t="s">
        <v>477</v>
      </c>
      <c r="L4" s="1" t="s">
        <v>478</v>
      </c>
    </row>
    <row r="5" spans="1:106" ht="15" customHeight="1" x14ac:dyDescent="0.2">
      <c r="B5" s="144" t="s">
        <v>475</v>
      </c>
      <c r="C5" s="185" t="s">
        <v>1</v>
      </c>
      <c r="D5" s="224"/>
      <c r="E5" s="225"/>
      <c r="G5" s="222" t="s">
        <v>2</v>
      </c>
      <c r="K5" s="40" t="s">
        <v>477</v>
      </c>
      <c r="L5" s="1" t="s">
        <v>509</v>
      </c>
    </row>
    <row r="6" spans="1:106" ht="15" customHeight="1" x14ac:dyDescent="0.2">
      <c r="B6" s="145" t="s">
        <v>476</v>
      </c>
      <c r="C6" s="13" t="s">
        <v>3</v>
      </c>
      <c r="D6" s="226"/>
      <c r="E6" s="227"/>
      <c r="G6" s="222"/>
      <c r="L6" s="10" t="s">
        <v>479</v>
      </c>
    </row>
    <row r="7" spans="1:106" ht="15" customHeight="1" x14ac:dyDescent="0.2">
      <c r="A7" s="14"/>
      <c r="B7" s="134" t="s">
        <v>4</v>
      </c>
      <c r="C7" s="135" t="s">
        <v>5</v>
      </c>
      <c r="D7" s="136" t="s">
        <v>12</v>
      </c>
      <c r="E7" s="136" t="s">
        <v>14</v>
      </c>
      <c r="F7" s="141"/>
      <c r="G7" s="223"/>
      <c r="K7" s="40" t="s">
        <v>477</v>
      </c>
      <c r="L7" s="1" t="s">
        <v>649</v>
      </c>
    </row>
    <row r="8" spans="1:106" ht="15" customHeight="1" x14ac:dyDescent="0.2">
      <c r="B8" s="15" t="s">
        <v>511</v>
      </c>
      <c r="C8" s="13"/>
      <c r="D8" s="137" t="s">
        <v>85</v>
      </c>
      <c r="E8" s="137" t="s">
        <v>512</v>
      </c>
      <c r="F8" s="142" t="s">
        <v>6</v>
      </c>
      <c r="G8" s="39"/>
      <c r="K8" s="41"/>
      <c r="L8" s="49" t="s">
        <v>494</v>
      </c>
    </row>
    <row r="9" spans="1:106" ht="15" customHeight="1" x14ac:dyDescent="0.2">
      <c r="B9" s="15" t="s">
        <v>513</v>
      </c>
      <c r="C9" s="13"/>
      <c r="D9" s="137" t="s">
        <v>85</v>
      </c>
      <c r="E9" s="137" t="s">
        <v>514</v>
      </c>
      <c r="F9" s="142" t="s">
        <v>6</v>
      </c>
      <c r="G9" s="16"/>
      <c r="K9" s="41" t="s">
        <v>477</v>
      </c>
      <c r="L9" s="10" t="s">
        <v>480</v>
      </c>
    </row>
    <row r="10" spans="1:106" ht="15" customHeight="1" thickBot="1" x14ac:dyDescent="0.25">
      <c r="B10" s="15" t="s">
        <v>515</v>
      </c>
      <c r="C10" s="13"/>
      <c r="D10" s="137" t="s">
        <v>85</v>
      </c>
      <c r="E10" s="137" t="s">
        <v>516</v>
      </c>
      <c r="F10" s="142" t="s">
        <v>6</v>
      </c>
      <c r="G10" s="16"/>
      <c r="K10" s="42" t="s">
        <v>481</v>
      </c>
      <c r="L10" s="43"/>
      <c r="M10" s="44"/>
      <c r="N10" s="48"/>
      <c r="O10" s="43"/>
      <c r="P10" s="43"/>
      <c r="Q10" s="43"/>
      <c r="R10" s="43"/>
      <c r="S10" s="43"/>
      <c r="T10" s="43"/>
      <c r="U10" s="43"/>
      <c r="V10" s="43"/>
      <c r="W10" s="43"/>
      <c r="X10" s="43"/>
    </row>
    <row r="11" spans="1:106" ht="15" customHeight="1" x14ac:dyDescent="0.2">
      <c r="B11" s="15" t="s">
        <v>517</v>
      </c>
      <c r="C11" s="13"/>
      <c r="D11" s="137" t="s">
        <v>85</v>
      </c>
      <c r="E11" s="137" t="s">
        <v>518</v>
      </c>
      <c r="F11" s="142" t="s">
        <v>6</v>
      </c>
      <c r="G11" s="16"/>
      <c r="K11" s="1" t="s">
        <v>493</v>
      </c>
    </row>
    <row r="12" spans="1:106" ht="15" customHeight="1" x14ac:dyDescent="0.2">
      <c r="B12" s="15" t="s">
        <v>519</v>
      </c>
      <c r="C12" s="13"/>
      <c r="D12" s="137" t="s">
        <v>86</v>
      </c>
      <c r="E12" s="137" t="s">
        <v>520</v>
      </c>
      <c r="F12" s="142" t="s">
        <v>6</v>
      </c>
      <c r="G12" s="16"/>
      <c r="K12" s="12">
        <v>1</v>
      </c>
      <c r="L12" s="1" t="s">
        <v>482</v>
      </c>
    </row>
    <row r="13" spans="1:106" ht="15" customHeight="1" x14ac:dyDescent="0.2">
      <c r="B13" s="15" t="s">
        <v>521</v>
      </c>
      <c r="C13" s="13"/>
      <c r="D13" s="137" t="s">
        <v>86</v>
      </c>
      <c r="E13" s="137" t="s">
        <v>522</v>
      </c>
      <c r="F13" s="142" t="s">
        <v>6</v>
      </c>
      <c r="G13" s="16"/>
      <c r="K13" s="12">
        <v>2</v>
      </c>
      <c r="L13" s="1" t="s">
        <v>485</v>
      </c>
    </row>
    <row r="14" spans="1:106" ht="15" customHeight="1" x14ac:dyDescent="0.2">
      <c r="B14" s="15" t="s">
        <v>523</v>
      </c>
      <c r="C14" s="13"/>
      <c r="D14" s="137" t="s">
        <v>86</v>
      </c>
      <c r="E14" s="137" t="s">
        <v>512</v>
      </c>
      <c r="F14" s="142" t="s">
        <v>6</v>
      </c>
      <c r="G14" s="16"/>
      <c r="K14" s="12">
        <v>3</v>
      </c>
      <c r="L14" s="1" t="s">
        <v>486</v>
      </c>
    </row>
    <row r="15" spans="1:106" ht="15" customHeight="1" x14ac:dyDescent="0.2">
      <c r="B15" s="15" t="s">
        <v>524</v>
      </c>
      <c r="C15" s="13"/>
      <c r="D15" s="137" t="s">
        <v>86</v>
      </c>
      <c r="E15" s="137" t="s">
        <v>518</v>
      </c>
      <c r="F15" s="142" t="s">
        <v>6</v>
      </c>
      <c r="G15" s="16"/>
      <c r="K15" s="12">
        <v>4</v>
      </c>
      <c r="L15" s="1" t="s">
        <v>487</v>
      </c>
    </row>
    <row r="16" spans="1:106" ht="15" customHeight="1" x14ac:dyDescent="0.2">
      <c r="B16" s="15" t="s">
        <v>525</v>
      </c>
      <c r="C16" s="13"/>
      <c r="D16" s="137" t="s">
        <v>87</v>
      </c>
      <c r="E16" s="137" t="s">
        <v>526</v>
      </c>
      <c r="F16" s="142" t="s">
        <v>6</v>
      </c>
      <c r="G16" s="16"/>
      <c r="K16" s="12">
        <v>5</v>
      </c>
      <c r="L16" s="1" t="s">
        <v>667</v>
      </c>
    </row>
    <row r="17" spans="2:12" ht="15" customHeight="1" x14ac:dyDescent="0.2">
      <c r="B17" s="15" t="s">
        <v>527</v>
      </c>
      <c r="C17" s="13"/>
      <c r="D17" s="137" t="s">
        <v>87</v>
      </c>
      <c r="E17" s="137" t="s">
        <v>528</v>
      </c>
      <c r="F17" s="142" t="s">
        <v>6</v>
      </c>
      <c r="G17" s="16"/>
      <c r="K17" s="12">
        <v>6</v>
      </c>
      <c r="L17" s="1" t="s">
        <v>483</v>
      </c>
    </row>
    <row r="18" spans="2:12" ht="15" customHeight="1" x14ac:dyDescent="0.2">
      <c r="B18" s="15" t="s">
        <v>529</v>
      </c>
      <c r="C18" s="13"/>
      <c r="D18" s="137" t="s">
        <v>87</v>
      </c>
      <c r="E18" s="137" t="s">
        <v>530</v>
      </c>
      <c r="F18" s="142" t="s">
        <v>6</v>
      </c>
      <c r="G18" s="16"/>
      <c r="K18" s="12">
        <v>7</v>
      </c>
      <c r="L18" s="1" t="s">
        <v>484</v>
      </c>
    </row>
    <row r="19" spans="2:12" ht="15" customHeight="1" x14ac:dyDescent="0.2">
      <c r="B19" s="15" t="s">
        <v>531</v>
      </c>
      <c r="C19" s="13"/>
      <c r="D19" s="137" t="s">
        <v>87</v>
      </c>
      <c r="E19" s="137" t="s">
        <v>514</v>
      </c>
      <c r="F19" s="142" t="s">
        <v>6</v>
      </c>
      <c r="G19" s="16"/>
      <c r="K19" s="12">
        <v>8</v>
      </c>
      <c r="L19" s="1" t="s">
        <v>668</v>
      </c>
    </row>
    <row r="20" spans="2:12" ht="15" customHeight="1" x14ac:dyDescent="0.2">
      <c r="B20" s="15" t="s">
        <v>532</v>
      </c>
      <c r="C20" s="13"/>
      <c r="D20" s="137" t="s">
        <v>81</v>
      </c>
      <c r="E20" s="137" t="s">
        <v>512</v>
      </c>
      <c r="F20" s="142" t="s">
        <v>6</v>
      </c>
      <c r="G20" s="16"/>
      <c r="K20" s="12"/>
      <c r="L20" s="1" t="s">
        <v>489</v>
      </c>
    </row>
    <row r="21" spans="2:12" ht="15" customHeight="1" x14ac:dyDescent="0.2">
      <c r="B21" s="15" t="s">
        <v>533</v>
      </c>
      <c r="C21" s="13"/>
      <c r="D21" s="137" t="s">
        <v>81</v>
      </c>
      <c r="E21" s="137" t="s">
        <v>534</v>
      </c>
      <c r="F21" s="142" t="s">
        <v>6</v>
      </c>
      <c r="G21" s="16"/>
      <c r="K21" s="12"/>
      <c r="L21" s="1" t="s">
        <v>490</v>
      </c>
    </row>
    <row r="22" spans="2:12" ht="15" customHeight="1" x14ac:dyDescent="0.2">
      <c r="B22" s="15" t="s">
        <v>535</v>
      </c>
      <c r="C22" s="13"/>
      <c r="D22" s="137" t="s">
        <v>81</v>
      </c>
      <c r="E22" s="137" t="s">
        <v>536</v>
      </c>
      <c r="F22" s="142" t="s">
        <v>6</v>
      </c>
      <c r="G22" s="16"/>
      <c r="K22" s="12"/>
      <c r="L22" s="1" t="s">
        <v>491</v>
      </c>
    </row>
    <row r="23" spans="2:12" ht="15" customHeight="1" x14ac:dyDescent="0.2">
      <c r="B23" s="221" t="s">
        <v>673</v>
      </c>
      <c r="C23" s="13"/>
      <c r="D23" s="16" t="s">
        <v>81</v>
      </c>
      <c r="E23" s="16" t="s">
        <v>518</v>
      </c>
      <c r="F23" s="142" t="s">
        <v>6</v>
      </c>
      <c r="G23" s="16"/>
      <c r="K23" s="12"/>
      <c r="L23" s="1" t="s">
        <v>492</v>
      </c>
    </row>
    <row r="24" spans="2:12" ht="15" customHeight="1" x14ac:dyDescent="0.2">
      <c r="B24" s="15" t="s">
        <v>538</v>
      </c>
      <c r="C24" s="13"/>
      <c r="D24" s="137" t="s">
        <v>89</v>
      </c>
      <c r="E24" s="137" t="s">
        <v>530</v>
      </c>
      <c r="F24" s="142" t="s">
        <v>6</v>
      </c>
      <c r="G24" s="16"/>
      <c r="K24" s="12">
        <v>9</v>
      </c>
      <c r="L24" s="1" t="s">
        <v>488</v>
      </c>
    </row>
    <row r="25" spans="2:12" ht="15" customHeight="1" x14ac:dyDescent="0.2">
      <c r="B25" s="15" t="s">
        <v>539</v>
      </c>
      <c r="C25" s="13"/>
      <c r="D25" s="137" t="s">
        <v>89</v>
      </c>
      <c r="E25" s="137" t="s">
        <v>540</v>
      </c>
      <c r="F25" s="142" t="s">
        <v>6</v>
      </c>
      <c r="G25" s="16"/>
    </row>
    <row r="26" spans="2:12" ht="15" customHeight="1" x14ac:dyDescent="0.2">
      <c r="B26" s="15" t="s">
        <v>541</v>
      </c>
      <c r="C26" s="13"/>
      <c r="D26" s="137" t="s">
        <v>89</v>
      </c>
      <c r="E26" s="137" t="s">
        <v>537</v>
      </c>
      <c r="F26" s="142" t="s">
        <v>6</v>
      </c>
      <c r="G26" s="16"/>
    </row>
    <row r="27" spans="2:12" ht="15" customHeight="1" x14ac:dyDescent="0.2">
      <c r="B27" s="15" t="s">
        <v>542</v>
      </c>
      <c r="C27" s="13"/>
      <c r="D27" s="137" t="s">
        <v>89</v>
      </c>
      <c r="E27" s="137" t="s">
        <v>543</v>
      </c>
      <c r="F27" s="142" t="s">
        <v>6</v>
      </c>
      <c r="G27" s="16"/>
    </row>
    <row r="28" spans="2:12" ht="15" customHeight="1" x14ac:dyDescent="0.2">
      <c r="B28" s="15" t="s">
        <v>544</v>
      </c>
      <c r="C28" s="13"/>
      <c r="D28" s="137" t="s">
        <v>88</v>
      </c>
      <c r="E28" s="137" t="s">
        <v>512</v>
      </c>
      <c r="F28" s="142" t="s">
        <v>6</v>
      </c>
      <c r="G28" s="16"/>
    </row>
    <row r="29" spans="2:12" ht="15" customHeight="1" x14ac:dyDescent="0.2">
      <c r="B29" s="15" t="s">
        <v>545</v>
      </c>
      <c r="C29" s="13"/>
      <c r="D29" s="137" t="s">
        <v>88</v>
      </c>
      <c r="E29" s="137" t="s">
        <v>526</v>
      </c>
      <c r="F29" s="142" t="s">
        <v>6</v>
      </c>
      <c r="G29" s="16"/>
    </row>
    <row r="30" spans="2:12" ht="15" customHeight="1" x14ac:dyDescent="0.2">
      <c r="B30" s="15" t="s">
        <v>546</v>
      </c>
      <c r="C30" s="13"/>
      <c r="D30" s="137" t="s">
        <v>88</v>
      </c>
      <c r="E30" s="137" t="s">
        <v>547</v>
      </c>
      <c r="F30" s="142" t="s">
        <v>6</v>
      </c>
      <c r="G30" s="16"/>
    </row>
    <row r="31" spans="2:12" ht="15" customHeight="1" x14ac:dyDescent="0.2">
      <c r="B31" s="15" t="s">
        <v>548</v>
      </c>
      <c r="C31" s="13"/>
      <c r="D31" s="137" t="s">
        <v>88</v>
      </c>
      <c r="E31" s="137" t="s">
        <v>549</v>
      </c>
      <c r="F31" s="142" t="s">
        <v>6</v>
      </c>
      <c r="G31" s="16"/>
    </row>
    <row r="32" spans="2:12" ht="15" customHeight="1" x14ac:dyDescent="0.2">
      <c r="B32" s="15" t="s">
        <v>550</v>
      </c>
      <c r="C32" s="13"/>
      <c r="D32" s="137" t="s">
        <v>90</v>
      </c>
      <c r="E32" s="137" t="s">
        <v>536</v>
      </c>
      <c r="F32" s="142" t="s">
        <v>6</v>
      </c>
      <c r="G32" s="16"/>
    </row>
    <row r="33" spans="2:7" ht="15" customHeight="1" x14ac:dyDescent="0.2">
      <c r="B33" s="15" t="s">
        <v>551</v>
      </c>
      <c r="C33" s="13"/>
      <c r="D33" s="137" t="s">
        <v>90</v>
      </c>
      <c r="E33" s="137" t="s">
        <v>552</v>
      </c>
      <c r="F33" s="142" t="s">
        <v>6</v>
      </c>
      <c r="G33" s="16"/>
    </row>
    <row r="34" spans="2:7" ht="15" customHeight="1" x14ac:dyDescent="0.2">
      <c r="B34" s="15" t="s">
        <v>553</v>
      </c>
      <c r="C34" s="13"/>
      <c r="D34" s="137" t="s">
        <v>90</v>
      </c>
      <c r="E34" s="137" t="s">
        <v>554</v>
      </c>
      <c r="F34" s="142" t="s">
        <v>6</v>
      </c>
      <c r="G34" s="16"/>
    </row>
    <row r="35" spans="2:7" ht="15" customHeight="1" x14ac:dyDescent="0.2">
      <c r="B35" s="15" t="s">
        <v>555</v>
      </c>
      <c r="C35" s="13"/>
      <c r="D35" s="137" t="s">
        <v>90</v>
      </c>
      <c r="E35" s="137" t="s">
        <v>543</v>
      </c>
      <c r="F35" s="142" t="s">
        <v>6</v>
      </c>
      <c r="G35" s="16"/>
    </row>
    <row r="36" spans="2:7" ht="15" customHeight="1" x14ac:dyDescent="0.2">
      <c r="B36" s="15" t="s">
        <v>556</v>
      </c>
      <c r="C36" s="13"/>
      <c r="D36" s="137" t="s">
        <v>91</v>
      </c>
      <c r="E36" s="137" t="s">
        <v>522</v>
      </c>
      <c r="F36" s="142" t="s">
        <v>6</v>
      </c>
      <c r="G36" s="16"/>
    </row>
    <row r="37" spans="2:7" ht="15" customHeight="1" x14ac:dyDescent="0.2">
      <c r="B37" s="15" t="s">
        <v>557</v>
      </c>
      <c r="C37" s="13"/>
      <c r="D37" s="137" t="s">
        <v>91</v>
      </c>
      <c r="E37" s="137" t="s">
        <v>558</v>
      </c>
      <c r="F37" s="142" t="s">
        <v>6</v>
      </c>
      <c r="G37" s="16"/>
    </row>
    <row r="38" spans="2:7" ht="15" customHeight="1" x14ac:dyDescent="0.2">
      <c r="B38" s="15" t="s">
        <v>559</v>
      </c>
      <c r="C38" s="13"/>
      <c r="D38" s="137" t="s">
        <v>91</v>
      </c>
      <c r="E38" s="137" t="s">
        <v>537</v>
      </c>
      <c r="F38" s="142" t="s">
        <v>6</v>
      </c>
      <c r="G38" s="16"/>
    </row>
    <row r="39" spans="2:7" ht="15" customHeight="1" x14ac:dyDescent="0.2">
      <c r="B39" s="15" t="s">
        <v>560</v>
      </c>
      <c r="C39" s="13"/>
      <c r="D39" s="137" t="s">
        <v>91</v>
      </c>
      <c r="E39" s="137" t="s">
        <v>561</v>
      </c>
      <c r="F39" s="142" t="s">
        <v>6</v>
      </c>
      <c r="G39" s="16"/>
    </row>
    <row r="40" spans="2:7" ht="15" customHeight="1" x14ac:dyDescent="0.2">
      <c r="B40" s="15" t="s">
        <v>7</v>
      </c>
      <c r="C40" s="13"/>
      <c r="D40" s="124"/>
      <c r="E40" s="124"/>
    </row>
    <row r="41" spans="2:7" ht="15" customHeight="1" x14ac:dyDescent="0.2">
      <c r="B41" s="15" t="s">
        <v>8</v>
      </c>
      <c r="C41" s="13"/>
      <c r="D41" s="124"/>
      <c r="E41" s="124"/>
    </row>
    <row r="42" spans="2:7" ht="15" customHeight="1" x14ac:dyDescent="0.2">
      <c r="B42" s="15" t="s">
        <v>9</v>
      </c>
      <c r="C42" s="13"/>
      <c r="D42" s="124"/>
      <c r="E42" s="124"/>
    </row>
    <row r="43" spans="2:7" ht="15" customHeight="1" x14ac:dyDescent="0.2">
      <c r="B43" s="15" t="s">
        <v>10</v>
      </c>
      <c r="C43" s="13"/>
      <c r="D43" s="124"/>
      <c r="E43" s="124"/>
    </row>
    <row r="44" spans="2:7" ht="15" customHeight="1" x14ac:dyDescent="0.2">
      <c r="B44" s="15" t="s">
        <v>11</v>
      </c>
      <c r="C44" s="13"/>
      <c r="D44" s="124"/>
      <c r="E44" s="124"/>
    </row>
    <row r="45" spans="2:7" ht="15" customHeight="1" x14ac:dyDescent="0.2">
      <c r="B45" s="15" t="s">
        <v>12</v>
      </c>
      <c r="C45" s="13"/>
      <c r="D45" s="124"/>
      <c r="E45" s="124"/>
    </row>
    <row r="46" spans="2:7" ht="15" customHeight="1" x14ac:dyDescent="0.2">
      <c r="B46" s="15" t="s">
        <v>13</v>
      </c>
      <c r="C46" s="13"/>
      <c r="D46" s="124"/>
      <c r="E46" s="124"/>
    </row>
    <row r="47" spans="2:7" ht="15" customHeight="1" x14ac:dyDescent="0.2">
      <c r="B47" s="15" t="s">
        <v>14</v>
      </c>
      <c r="C47" s="13"/>
      <c r="D47" s="124"/>
      <c r="E47" s="124"/>
    </row>
    <row r="48" spans="2:7" ht="15" customHeight="1" x14ac:dyDescent="0.2">
      <c r="B48" s="15" t="s">
        <v>15</v>
      </c>
      <c r="C48" s="13"/>
      <c r="D48" s="124"/>
      <c r="E48" s="124"/>
    </row>
    <row r="49" spans="2:5" ht="15" customHeight="1" x14ac:dyDescent="0.2">
      <c r="B49" s="15" t="s">
        <v>16</v>
      </c>
      <c r="C49" s="13"/>
      <c r="D49" s="124"/>
      <c r="E49" s="124"/>
    </row>
    <row r="50" spans="2:5" ht="15" customHeight="1" x14ac:dyDescent="0.2">
      <c r="B50" s="15" t="s">
        <v>17</v>
      </c>
      <c r="C50" s="13"/>
      <c r="D50" s="124"/>
      <c r="E50" s="124"/>
    </row>
    <row r="51" spans="2:5" ht="15" customHeight="1" x14ac:dyDescent="0.2">
      <c r="B51" s="15" t="s">
        <v>18</v>
      </c>
      <c r="C51" s="13"/>
      <c r="D51" s="124"/>
      <c r="E51" s="124"/>
    </row>
    <row r="52" spans="2:5" ht="15" customHeight="1" x14ac:dyDescent="0.2">
      <c r="B52" s="15" t="s">
        <v>19</v>
      </c>
      <c r="C52" s="13"/>
      <c r="D52" s="124"/>
      <c r="E52" s="124"/>
    </row>
    <row r="53" spans="2:5" ht="15" customHeight="1" x14ac:dyDescent="0.2">
      <c r="B53" s="15" t="s">
        <v>20</v>
      </c>
      <c r="C53" s="13"/>
      <c r="D53" s="124"/>
      <c r="E53" s="124"/>
    </row>
    <row r="54" spans="2:5" ht="15" customHeight="1" x14ac:dyDescent="0.2">
      <c r="B54" s="15" t="s">
        <v>21</v>
      </c>
      <c r="C54" s="13"/>
      <c r="D54" s="124"/>
      <c r="E54" s="124"/>
    </row>
    <row r="55" spans="2:5" ht="15" customHeight="1" x14ac:dyDescent="0.2">
      <c r="B55" s="15" t="s">
        <v>22</v>
      </c>
      <c r="C55" s="13"/>
      <c r="D55" s="124"/>
      <c r="E55" s="124"/>
    </row>
    <row r="56" spans="2:5" ht="15" customHeight="1" x14ac:dyDescent="0.2">
      <c r="B56" s="15" t="s">
        <v>23</v>
      </c>
      <c r="C56" s="13"/>
      <c r="D56" s="124"/>
      <c r="E56" s="124"/>
    </row>
    <row r="57" spans="2:5" ht="15" customHeight="1" x14ac:dyDescent="0.2">
      <c r="B57" s="15" t="s">
        <v>24</v>
      </c>
      <c r="C57" s="13"/>
      <c r="D57" s="124"/>
      <c r="E57" s="124"/>
    </row>
    <row r="58" spans="2:5" ht="15" customHeight="1" x14ac:dyDescent="0.2">
      <c r="B58" s="15" t="s">
        <v>495</v>
      </c>
      <c r="C58" s="13"/>
      <c r="D58" s="124"/>
      <c r="E58" s="124"/>
    </row>
    <row r="59" spans="2:5" ht="15" customHeight="1" x14ac:dyDescent="0.2">
      <c r="B59" s="15" t="s">
        <v>25</v>
      </c>
      <c r="C59" s="13"/>
      <c r="D59" s="124"/>
      <c r="E59" s="124"/>
    </row>
    <row r="60" spans="2:5" ht="15" customHeight="1" x14ac:dyDescent="0.2">
      <c r="B60" s="15" t="s">
        <v>26</v>
      </c>
      <c r="C60" s="13"/>
      <c r="D60" s="124"/>
      <c r="E60" s="124"/>
    </row>
    <row r="61" spans="2:5" ht="15" customHeight="1" x14ac:dyDescent="0.2">
      <c r="B61" s="15" t="s">
        <v>27</v>
      </c>
      <c r="C61" s="13"/>
      <c r="D61" s="124"/>
      <c r="E61" s="124"/>
    </row>
    <row r="62" spans="2:5" ht="15" customHeight="1" x14ac:dyDescent="0.2">
      <c r="B62" s="15" t="s">
        <v>28</v>
      </c>
      <c r="C62" s="13"/>
      <c r="D62" s="124"/>
      <c r="E62" s="124"/>
    </row>
    <row r="63" spans="2:5" ht="15" customHeight="1" x14ac:dyDescent="0.2">
      <c r="B63" s="15" t="s">
        <v>29</v>
      </c>
      <c r="C63" s="13"/>
      <c r="D63" s="124"/>
      <c r="E63" s="124"/>
    </row>
    <row r="64" spans="2:5" ht="15" customHeight="1" x14ac:dyDescent="0.2">
      <c r="B64" s="15" t="s">
        <v>30</v>
      </c>
      <c r="C64" s="13"/>
      <c r="D64" s="124"/>
      <c r="E64" s="124"/>
    </row>
    <row r="65" spans="2:5" ht="15" customHeight="1" x14ac:dyDescent="0.2">
      <c r="B65" s="15" t="s">
        <v>31</v>
      </c>
      <c r="C65" s="13"/>
      <c r="D65" s="124"/>
      <c r="E65" s="124"/>
    </row>
    <row r="66" spans="2:5" ht="15" customHeight="1" x14ac:dyDescent="0.2">
      <c r="B66" s="15" t="s">
        <v>32</v>
      </c>
      <c r="C66" s="13"/>
      <c r="D66" s="124"/>
      <c r="E66" s="124"/>
    </row>
    <row r="67" spans="2:5" ht="15" customHeight="1" x14ac:dyDescent="0.2">
      <c r="B67" s="15" t="s">
        <v>33</v>
      </c>
      <c r="C67" s="13"/>
      <c r="D67" s="124"/>
      <c r="E67" s="124"/>
    </row>
    <row r="68" spans="2:5" ht="15" customHeight="1" x14ac:dyDescent="0.2">
      <c r="B68" s="15" t="s">
        <v>34</v>
      </c>
      <c r="C68" s="13"/>
      <c r="D68" s="124"/>
      <c r="E68" s="124"/>
    </row>
    <row r="69" spans="2:5" ht="15" customHeight="1" x14ac:dyDescent="0.2">
      <c r="B69" s="15" t="s">
        <v>35</v>
      </c>
      <c r="C69" s="13"/>
      <c r="D69" s="124"/>
      <c r="E69" s="124"/>
    </row>
    <row r="70" spans="2:5" ht="15" customHeight="1" x14ac:dyDescent="0.2">
      <c r="B70" s="15" t="s">
        <v>36</v>
      </c>
      <c r="C70" s="13"/>
      <c r="D70" s="124"/>
      <c r="E70" s="124"/>
    </row>
    <row r="71" spans="2:5" ht="15" customHeight="1" x14ac:dyDescent="0.2">
      <c r="B71" s="15" t="s">
        <v>37</v>
      </c>
      <c r="C71" s="13"/>
      <c r="D71" s="124"/>
      <c r="E71" s="124"/>
    </row>
    <row r="72" spans="2:5" ht="15" customHeight="1" x14ac:dyDescent="0.2">
      <c r="B72" s="15" t="s">
        <v>38</v>
      </c>
      <c r="C72" s="13"/>
      <c r="D72" s="124"/>
      <c r="E72" s="124"/>
    </row>
    <row r="73" spans="2:5" ht="15" customHeight="1" x14ac:dyDescent="0.2">
      <c r="B73" s="15" t="s">
        <v>39</v>
      </c>
      <c r="C73" s="13"/>
      <c r="D73" s="124"/>
      <c r="E73" s="124"/>
    </row>
    <row r="74" spans="2:5" ht="15" customHeight="1" x14ac:dyDescent="0.2">
      <c r="B74" s="15" t="s">
        <v>40</v>
      </c>
      <c r="C74" s="13"/>
      <c r="D74" s="124"/>
      <c r="E74" s="124"/>
    </row>
    <row r="75" spans="2:5" ht="15" customHeight="1" x14ac:dyDescent="0.2">
      <c r="B75" s="15" t="s">
        <v>41</v>
      </c>
      <c r="C75" s="13"/>
      <c r="D75" s="124"/>
      <c r="E75" s="124"/>
    </row>
    <row r="76" spans="2:5" ht="15" customHeight="1" x14ac:dyDescent="0.2">
      <c r="B76" s="15" t="s">
        <v>42</v>
      </c>
      <c r="C76" s="13"/>
      <c r="D76" s="124"/>
      <c r="E76" s="124"/>
    </row>
    <row r="77" spans="2:5" ht="15" customHeight="1" x14ac:dyDescent="0.2">
      <c r="B77" s="15" t="s">
        <v>43</v>
      </c>
      <c r="C77" s="13"/>
      <c r="D77" s="124"/>
      <c r="E77" s="124"/>
    </row>
    <row r="78" spans="2:5" ht="15" customHeight="1" x14ac:dyDescent="0.2">
      <c r="B78" s="15" t="s">
        <v>44</v>
      </c>
      <c r="C78" s="13"/>
      <c r="D78" s="124"/>
      <c r="E78" s="124"/>
    </row>
    <row r="79" spans="2:5" ht="15" customHeight="1" x14ac:dyDescent="0.2">
      <c r="B79" s="15" t="s">
        <v>45</v>
      </c>
      <c r="C79" s="13"/>
      <c r="D79" s="124"/>
      <c r="E79" s="124"/>
    </row>
    <row r="80" spans="2:5" ht="15" customHeight="1" x14ac:dyDescent="0.2">
      <c r="B80" s="15" t="s">
        <v>46</v>
      </c>
      <c r="C80" s="13"/>
      <c r="D80" s="124"/>
      <c r="E80" s="124"/>
    </row>
    <row r="81" spans="2:5" ht="15" customHeight="1" x14ac:dyDescent="0.2">
      <c r="B81" s="15" t="s">
        <v>47</v>
      </c>
      <c r="C81" s="13"/>
      <c r="D81" s="124"/>
      <c r="E81" s="124"/>
    </row>
    <row r="82" spans="2:5" ht="15" customHeight="1" x14ac:dyDescent="0.2">
      <c r="B82" s="15" t="s">
        <v>48</v>
      </c>
      <c r="C82" s="13"/>
      <c r="D82" s="124"/>
      <c r="E82" s="124"/>
    </row>
    <row r="83" spans="2:5" ht="15" customHeight="1" x14ac:dyDescent="0.2">
      <c r="B83" s="15" t="s">
        <v>49</v>
      </c>
      <c r="C83" s="13"/>
      <c r="D83" s="124"/>
      <c r="E83" s="124"/>
    </row>
    <row r="84" spans="2:5" ht="15" customHeight="1" x14ac:dyDescent="0.2">
      <c r="B84" s="15" t="s">
        <v>50</v>
      </c>
      <c r="C84" s="13"/>
      <c r="D84" s="124"/>
      <c r="E84" s="124"/>
    </row>
    <row r="85" spans="2:5" ht="15" customHeight="1" x14ac:dyDescent="0.2">
      <c r="B85" s="15" t="s">
        <v>51</v>
      </c>
      <c r="C85" s="13"/>
      <c r="D85" s="124"/>
      <c r="E85" s="124"/>
    </row>
    <row r="86" spans="2:5" ht="15" customHeight="1" x14ac:dyDescent="0.2">
      <c r="B86" s="15" t="s">
        <v>52</v>
      </c>
      <c r="C86" s="13"/>
      <c r="D86" s="124"/>
      <c r="E86" s="124"/>
    </row>
    <row r="87" spans="2:5" ht="15" customHeight="1" x14ac:dyDescent="0.2">
      <c r="B87" s="15" t="s">
        <v>53</v>
      </c>
      <c r="C87" s="13"/>
      <c r="D87" s="124"/>
      <c r="E87" s="124"/>
    </row>
    <row r="88" spans="2:5" ht="15" customHeight="1" x14ac:dyDescent="0.2">
      <c r="B88" s="15" t="s">
        <v>54</v>
      </c>
      <c r="C88" s="13"/>
      <c r="D88" s="124"/>
      <c r="E88" s="124"/>
    </row>
    <row r="89" spans="2:5" ht="15" customHeight="1" x14ac:dyDescent="0.2">
      <c r="B89" s="15" t="s">
        <v>55</v>
      </c>
      <c r="C89" s="13"/>
      <c r="D89" s="124"/>
      <c r="E89" s="124"/>
    </row>
    <row r="90" spans="2:5" ht="15" customHeight="1" x14ac:dyDescent="0.2">
      <c r="B90" s="15" t="s">
        <v>56</v>
      </c>
      <c r="C90" s="13"/>
      <c r="D90" s="124"/>
      <c r="E90" s="124"/>
    </row>
    <row r="91" spans="2:5" ht="15" customHeight="1" x14ac:dyDescent="0.2">
      <c r="B91" s="15" t="s">
        <v>57</v>
      </c>
      <c r="C91" s="13"/>
      <c r="D91" s="124"/>
      <c r="E91" s="124"/>
    </row>
    <row r="92" spans="2:5" ht="15" customHeight="1" x14ac:dyDescent="0.2">
      <c r="B92" s="15" t="s">
        <v>58</v>
      </c>
      <c r="C92" s="13"/>
      <c r="D92" s="124"/>
      <c r="E92" s="124"/>
    </row>
    <row r="93" spans="2:5" ht="15" customHeight="1" x14ac:dyDescent="0.2">
      <c r="B93" s="15" t="s">
        <v>59</v>
      </c>
      <c r="C93" s="13"/>
      <c r="D93" s="124"/>
      <c r="E93" s="124"/>
    </row>
    <row r="94" spans="2:5" ht="15" customHeight="1" x14ac:dyDescent="0.2">
      <c r="B94" s="15" t="s">
        <v>60</v>
      </c>
      <c r="C94" s="13"/>
      <c r="D94" s="124"/>
      <c r="E94" s="124"/>
    </row>
    <row r="95" spans="2:5" ht="15" customHeight="1" x14ac:dyDescent="0.2">
      <c r="B95" s="15" t="s">
        <v>61</v>
      </c>
      <c r="C95" s="13"/>
      <c r="D95" s="124"/>
      <c r="E95" s="124"/>
    </row>
    <row r="96" spans="2:5" ht="15" customHeight="1" x14ac:dyDescent="0.2">
      <c r="B96" s="15" t="s">
        <v>62</v>
      </c>
      <c r="C96" s="13"/>
      <c r="D96" s="124"/>
      <c r="E96" s="124"/>
    </row>
    <row r="97" spans="2:5" ht="15" customHeight="1" x14ac:dyDescent="0.2">
      <c r="B97" s="15" t="s">
        <v>63</v>
      </c>
      <c r="C97" s="13"/>
      <c r="D97" s="124"/>
      <c r="E97" s="124"/>
    </row>
    <row r="98" spans="2:5" ht="15" customHeight="1" x14ac:dyDescent="0.2">
      <c r="B98" s="15" t="s">
        <v>64</v>
      </c>
      <c r="C98" s="13"/>
      <c r="D98" s="124"/>
      <c r="E98" s="124"/>
    </row>
    <row r="99" spans="2:5" ht="15" customHeight="1" x14ac:dyDescent="0.2">
      <c r="B99" s="15" t="s">
        <v>65</v>
      </c>
      <c r="C99" s="13"/>
      <c r="D99" s="124"/>
      <c r="E99" s="124"/>
    </row>
    <row r="100" spans="2:5" ht="15" customHeight="1" x14ac:dyDescent="0.2">
      <c r="B100" s="15" t="s">
        <v>66</v>
      </c>
      <c r="C100" s="13"/>
      <c r="D100" s="124"/>
      <c r="E100" s="124"/>
    </row>
    <row r="101" spans="2:5" ht="15" customHeight="1" x14ac:dyDescent="0.2">
      <c r="B101" s="15" t="s">
        <v>67</v>
      </c>
      <c r="C101" s="13"/>
      <c r="D101" s="124"/>
      <c r="E101" s="124"/>
    </row>
    <row r="102" spans="2:5" ht="15" customHeight="1" x14ac:dyDescent="0.2">
      <c r="B102" s="15" t="s">
        <v>68</v>
      </c>
      <c r="C102" s="13"/>
      <c r="D102" s="124"/>
      <c r="E102" s="124"/>
    </row>
    <row r="103" spans="2:5" ht="15" customHeight="1" x14ac:dyDescent="0.2">
      <c r="B103" s="15" t="s">
        <v>69</v>
      </c>
      <c r="C103" s="13"/>
      <c r="D103" s="124"/>
      <c r="E103" s="124"/>
    </row>
    <row r="104" spans="2:5" ht="15" customHeight="1" x14ac:dyDescent="0.2">
      <c r="B104" s="15" t="s">
        <v>70</v>
      </c>
      <c r="C104" s="13"/>
      <c r="D104" s="124"/>
      <c r="E104" s="124"/>
    </row>
    <row r="105" spans="2:5" ht="15" customHeight="1" x14ac:dyDescent="0.2">
      <c r="B105" s="15" t="s">
        <v>71</v>
      </c>
      <c r="C105" s="13"/>
      <c r="D105" s="124"/>
      <c r="E105" s="124"/>
    </row>
    <row r="106" spans="2:5" ht="15" customHeight="1" x14ac:dyDescent="0.2">
      <c r="B106" s="15" t="s">
        <v>72</v>
      </c>
      <c r="C106" s="13"/>
      <c r="D106" s="124"/>
      <c r="E106" s="124"/>
    </row>
    <row r="107" spans="2:5" ht="15" customHeight="1" x14ac:dyDescent="0.2">
      <c r="B107" s="15" t="s">
        <v>73</v>
      </c>
      <c r="C107" s="13"/>
      <c r="D107" s="124"/>
      <c r="E107" s="124"/>
    </row>
    <row r="108" spans="2:5" ht="15" customHeight="1" x14ac:dyDescent="0.2">
      <c r="B108" s="15" t="s">
        <v>74</v>
      </c>
      <c r="C108" s="13"/>
      <c r="D108" s="124"/>
      <c r="E108" s="124"/>
    </row>
    <row r="109" spans="2:5" ht="15" customHeight="1" x14ac:dyDescent="0.2">
      <c r="B109" s="15" t="s">
        <v>75</v>
      </c>
      <c r="C109" s="13"/>
      <c r="D109" s="124"/>
      <c r="E109" s="124"/>
    </row>
    <row r="110" spans="2:5" ht="15" customHeight="1" x14ac:dyDescent="0.2">
      <c r="B110" s="15" t="s">
        <v>76</v>
      </c>
      <c r="C110" s="13"/>
      <c r="D110" s="124"/>
      <c r="E110" s="124"/>
    </row>
    <row r="111" spans="2:5" ht="15" customHeight="1" x14ac:dyDescent="0.2">
      <c r="B111" s="15" t="s">
        <v>77</v>
      </c>
      <c r="C111" s="13"/>
      <c r="D111" s="124"/>
      <c r="E111" s="124"/>
    </row>
    <row r="112" spans="2:5" ht="15" customHeight="1" x14ac:dyDescent="0.2">
      <c r="B112" s="15" t="s">
        <v>78</v>
      </c>
      <c r="C112" s="13"/>
      <c r="D112" s="124"/>
      <c r="E112" s="124"/>
    </row>
    <row r="113" spans="2:5" ht="15" customHeight="1" x14ac:dyDescent="0.2">
      <c r="B113" s="15" t="s">
        <v>640</v>
      </c>
      <c r="C113" s="13"/>
      <c r="D113" s="124"/>
      <c r="E113" s="124"/>
    </row>
    <row r="114" spans="2:5" ht="15" customHeight="1" x14ac:dyDescent="0.2">
      <c r="B114" s="15" t="s">
        <v>637</v>
      </c>
      <c r="C114" s="13"/>
      <c r="D114" s="124"/>
      <c r="E114" s="124"/>
    </row>
    <row r="115" spans="2:5" x14ac:dyDescent="0.2">
      <c r="B115" s="15" t="s">
        <v>638</v>
      </c>
      <c r="C115" s="13"/>
      <c r="D115" s="124"/>
      <c r="E115" s="124"/>
    </row>
    <row r="116" spans="2:5" x14ac:dyDescent="0.2">
      <c r="B116" s="15" t="s">
        <v>639</v>
      </c>
      <c r="C116" s="13"/>
      <c r="D116" s="124"/>
      <c r="E116" s="124"/>
    </row>
  </sheetData>
  <sheetProtection sheet="1" formatCells="0" formatColumns="0" formatRows="0"/>
  <mergeCells count="3">
    <mergeCell ref="G5:G7"/>
    <mergeCell ref="D4:E5"/>
    <mergeCell ref="D6:E6"/>
  </mergeCells>
  <dataValidations count="2">
    <dataValidation type="list" allowBlank="1" showInputMessage="1" showErrorMessage="1" sqref="C4" xr:uid="{00000000-0002-0000-0000-000000000000}">
      <formula1>TimeZoneList</formula1>
    </dataValidation>
    <dataValidation type="list" allowBlank="1" showInputMessage="1" showErrorMessage="1" sqref="C5" xr:uid="{00000000-0002-0000-0000-000001000000}">
      <formula1>Countries</formula1>
    </dataValidation>
  </dataValidations>
  <pageMargins left="0.2" right="0.2" top="0.25" bottom="0.25" header="0.3" footer="0.3"/>
  <pageSetup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U239"/>
  <sheetViews>
    <sheetView showGridLines="0" tabSelected="1" zoomScale="110" zoomScaleNormal="110" workbookViewId="0">
      <pane ySplit="3" topLeftCell="A4" activePane="bottomLeft" state="frozen"/>
      <selection pane="bottomLeft" activeCell="P40" sqref="P40"/>
    </sheetView>
  </sheetViews>
  <sheetFormatPr defaultColWidth="9.140625" defaultRowHeight="15" zeroHeight="1" x14ac:dyDescent="0.25"/>
  <cols>
    <col min="1" max="1" width="1.5703125" style="25" customWidth="1"/>
    <col min="2" max="2" width="3.5703125" style="25" customWidth="1"/>
    <col min="3" max="3" width="3.7109375" style="25" customWidth="1"/>
    <col min="4" max="4" width="17.5703125" style="25" customWidth="1"/>
    <col min="5" max="7" width="3.5703125" style="25" customWidth="1"/>
    <col min="8" max="8" width="14.5703125" style="28" customWidth="1"/>
    <col min="9" max="9" width="3.5703125" style="28" customWidth="1"/>
    <col min="10" max="11" width="3.5703125" style="25" customWidth="1"/>
    <col min="12" max="12" width="3.5703125" style="28" customWidth="1"/>
    <col min="13" max="13" width="14.5703125" style="29" customWidth="1"/>
    <col min="14" max="16" width="3.5703125" style="29" customWidth="1"/>
    <col min="17" max="17" width="18.5703125" style="25" customWidth="1"/>
    <col min="18" max="19" width="3.5703125" style="25" customWidth="1"/>
    <col min="20" max="20" width="15.5703125" style="25" customWidth="1"/>
    <col min="21" max="24" width="2.5703125" style="21" customWidth="1"/>
    <col min="25" max="25" width="6.5703125" style="21" customWidth="1"/>
    <col min="26" max="26" width="3.5703125" style="21" customWidth="1"/>
    <col min="27" max="27" width="1.5703125" style="30" customWidth="1"/>
    <col min="28" max="28" width="0.85546875" style="130" customWidth="1"/>
    <col min="29" max="29" width="1.5703125" style="25" customWidth="1"/>
    <col min="30" max="30" width="2.5703125" style="25" customWidth="1"/>
    <col min="31" max="31" width="14.140625" style="25" customWidth="1"/>
    <col min="32" max="32" width="1.140625" style="25" customWidth="1"/>
    <col min="33" max="39" width="5.7109375" style="25" customWidth="1"/>
    <col min="40" max="95" width="9.140625" style="25" customWidth="1"/>
    <col min="96" max="99" width="9.140625" style="21" customWidth="1"/>
    <col min="100" max="16384" width="9.140625" style="25"/>
  </cols>
  <sheetData>
    <row r="1" spans="2:99" s="125" customFormat="1" ht="5.0999999999999996" customHeight="1" x14ac:dyDescent="0.25">
      <c r="D1" s="151"/>
      <c r="E1" s="151"/>
      <c r="F1" s="151"/>
      <c r="G1" s="151"/>
      <c r="H1" s="128"/>
      <c r="I1" s="128"/>
      <c r="L1" s="128"/>
      <c r="M1" s="126"/>
      <c r="N1" s="126"/>
      <c r="O1" s="126"/>
      <c r="P1" s="126"/>
      <c r="U1" s="129"/>
      <c r="V1" s="129"/>
      <c r="W1" s="129"/>
      <c r="X1" s="129"/>
      <c r="Y1" s="129"/>
      <c r="Z1" s="129"/>
      <c r="AA1" s="130"/>
      <c r="AB1" s="130"/>
      <c r="CR1" s="129"/>
      <c r="CS1" s="129"/>
      <c r="CT1" s="129"/>
      <c r="CU1" s="129"/>
    </row>
    <row r="2" spans="2:99" s="1" customFormat="1" ht="15.95" customHeight="1" x14ac:dyDescent="0.2">
      <c r="B2" s="231" t="str">
        <f>UPPER(INDEX(Translation,MATCH("Club World Cup 2025 Fixtures",TransRef,0),MATCH(Setup!C5,LanguageRef,0)))</f>
        <v>CLUB WORLD CUP 2025 SCHEDULE</v>
      </c>
      <c r="C2" s="231"/>
      <c r="D2" s="231"/>
      <c r="E2" s="231"/>
      <c r="F2" s="231"/>
      <c r="G2" s="231"/>
      <c r="H2" s="231"/>
      <c r="I2" s="231"/>
      <c r="J2" s="231"/>
      <c r="K2" s="231"/>
      <c r="L2" s="231"/>
      <c r="M2" s="231"/>
      <c r="N2" s="231"/>
      <c r="O2" s="231"/>
      <c r="P2" s="231"/>
      <c r="Q2" s="183" t="str">
        <f>IF(TimeZoneData&lt;&gt;0,IF(Setup!D6&lt;&gt;"",Setup!D6&amp;" TIME",""),"NEW YORK TIME ")</f>
        <v xml:space="preserve">NEW YORK TIME </v>
      </c>
      <c r="R2" s="81"/>
      <c r="S2" s="81"/>
      <c r="T2" s="81"/>
      <c r="U2" s="81"/>
      <c r="V2" s="81"/>
      <c r="W2" s="81"/>
      <c r="X2" s="81"/>
      <c r="Y2" s="81"/>
      <c r="Z2" s="81"/>
      <c r="AA2" s="7"/>
      <c r="AB2" s="150"/>
      <c r="AD2" s="229" t="s">
        <v>669</v>
      </c>
      <c r="AE2" s="229"/>
      <c r="AF2" s="229"/>
      <c r="AG2" s="229"/>
      <c r="AH2" s="229"/>
      <c r="AI2" s="229"/>
      <c r="AJ2" s="229"/>
      <c r="AK2" s="229"/>
      <c r="AL2" s="229"/>
      <c r="AM2" s="229"/>
      <c r="CR2" s="11"/>
      <c r="CS2" s="11"/>
      <c r="CT2" s="11"/>
      <c r="CU2" s="11"/>
    </row>
    <row r="3" spans="2:99" s="19" customFormat="1" ht="13.35" customHeight="1" thickBot="1" x14ac:dyDescent="0.3">
      <c r="B3" s="172" t="str">
        <f>INDEX(Translation,MATCH("Match #",TransRef,0),MATCH(Setup!C5,LanguageRef,0))</f>
        <v>Match #</v>
      </c>
      <c r="C3" s="173"/>
      <c r="D3" s="173" t="str">
        <f>INDEX(Translation,MATCH("Time",TransRef,0),MATCH(Setup!C5,LanguageRef,0))</f>
        <v>Time</v>
      </c>
      <c r="E3" s="173"/>
      <c r="F3" s="173"/>
      <c r="G3" s="173"/>
      <c r="H3" s="174" t="str">
        <f>INDEX(Translation,MATCH("Country",TransRef,0),MATCH(Setup!C5,LanguageRef,0))</f>
        <v>Country</v>
      </c>
      <c r="I3" s="174"/>
      <c r="J3" s="232" t="str">
        <f>INDEX(Translation,MATCH("Score",TransRef,0),MATCH(Setup!C5,LanguageRef,0))</f>
        <v>Score</v>
      </c>
      <c r="K3" s="232"/>
      <c r="L3" s="174"/>
      <c r="M3" s="175" t="str">
        <f>INDEX(Translation,MATCH("Country",TransRef,0),MATCH(Setup!C5,LanguageRef,0))</f>
        <v>Country</v>
      </c>
      <c r="N3" s="175"/>
      <c r="O3" s="175"/>
      <c r="P3" s="175"/>
      <c r="Q3" s="176" t="str">
        <f>INDEX(Translation,MATCH("Venue",TransRef,0),MATCH(Setup!C5,LanguageRef,0))</f>
        <v>Venue</v>
      </c>
      <c r="S3" s="240" t="str">
        <f>INDEX(Language!A1:H112,MATCH("Standings",Language!B1:B122,0),MATCH(Setup!C5,Language!A1:G1,0))</f>
        <v>Standings</v>
      </c>
      <c r="T3" s="240"/>
      <c r="U3" s="240"/>
      <c r="V3" s="240"/>
      <c r="W3" s="240"/>
      <c r="X3" s="240"/>
      <c r="Y3" s="240"/>
      <c r="Z3" s="240"/>
      <c r="AA3" s="7"/>
      <c r="AB3" s="150"/>
      <c r="AD3" s="229"/>
      <c r="AE3" s="229"/>
      <c r="AF3" s="229"/>
      <c r="AG3" s="229"/>
      <c r="AH3" s="229"/>
      <c r="AI3" s="229"/>
      <c r="AJ3" s="229"/>
      <c r="AK3" s="229"/>
      <c r="AL3" s="229"/>
      <c r="AM3" s="229"/>
      <c r="CT3" s="20"/>
    </row>
    <row r="4" spans="2:99" s="1" customFormat="1" ht="13.35" customHeight="1" thickTop="1" x14ac:dyDescent="0.25">
      <c r="B4" s="169">
        <v>1</v>
      </c>
      <c r="C4" s="22" t="s">
        <v>85</v>
      </c>
      <c r="D4" s="82">
        <f>Calculator!EA7</f>
        <v>45822.833333333336</v>
      </c>
      <c r="E4" s="83"/>
      <c r="F4" s="83"/>
      <c r="G4" s="83"/>
      <c r="H4" s="84" t="str">
        <f>INDEX(Language!A1:K117,MATCH(Setup!B10,Language!B1:B117,0),MATCH(Setup!C5,Language!A1:J1,0))</f>
        <v>Al Ahly</v>
      </c>
      <c r="I4" s="84"/>
      <c r="J4" s="170"/>
      <c r="K4" s="171"/>
      <c r="L4" s="84"/>
      <c r="M4" s="6" t="str">
        <f>INDEX(Language!A1:K117,MATCH(Setup!B11,Language!B1:B117,0),MATCH(Setup!C5,Language!A1:J1,0))</f>
        <v>Inter Miami</v>
      </c>
      <c r="N4" s="6"/>
      <c r="O4" s="6"/>
      <c r="P4" s="6"/>
      <c r="Q4" s="85" t="s">
        <v>592</v>
      </c>
      <c r="S4" s="152" t="str">
        <f>INDEX(Language!A1:K117,MATCH("Group A",Language!B1:B117,0),MATCH(Setup!C5,Language!A1:J1,0))</f>
        <v>Group A</v>
      </c>
      <c r="T4" s="152"/>
      <c r="U4" s="146" t="s">
        <v>79</v>
      </c>
      <c r="V4" s="146" t="s">
        <v>80</v>
      </c>
      <c r="W4" s="146" t="s">
        <v>81</v>
      </c>
      <c r="X4" s="146" t="s">
        <v>82</v>
      </c>
      <c r="Y4" s="146" t="s">
        <v>83</v>
      </c>
      <c r="Z4" s="146" t="s">
        <v>84</v>
      </c>
      <c r="AA4" s="7"/>
      <c r="AB4" s="150"/>
      <c r="AI4" s="4"/>
      <c r="CR4" s="11"/>
      <c r="CS4" s="11"/>
      <c r="CT4" s="21"/>
      <c r="CU4" s="11"/>
    </row>
    <row r="5" spans="2:99" s="1" customFormat="1" ht="13.35" customHeight="1" x14ac:dyDescent="0.25">
      <c r="B5" s="169">
        <v>2</v>
      </c>
      <c r="C5" s="86" t="s">
        <v>87</v>
      </c>
      <c r="D5" s="87">
        <f>Calculator!EA8</f>
        <v>45823.5</v>
      </c>
      <c r="E5" s="88"/>
      <c r="F5" s="88"/>
      <c r="G5" s="88"/>
      <c r="H5" s="89" t="str">
        <f>INDEX(Language!A1:K117,MATCH(Setup!B16,Language!B1:B117,0),MATCH(Setup!C5,Language!A1:J1,0))</f>
        <v>Bayern Munich</v>
      </c>
      <c r="I5" s="89"/>
      <c r="J5" s="92"/>
      <c r="K5" s="93"/>
      <c r="L5" s="89"/>
      <c r="M5" s="90" t="str">
        <f>INDEX(Language!A1:K117,MATCH(Setup!B17,Language!B1:B117,0),MATCH(Setup!C5,Language!A1:J1,0))</f>
        <v>Auckland City</v>
      </c>
      <c r="N5" s="90"/>
      <c r="O5" s="90"/>
      <c r="P5" s="90"/>
      <c r="Q5" s="91" t="s">
        <v>593</v>
      </c>
      <c r="S5" s="50">
        <v>1</v>
      </c>
      <c r="T5" s="51" t="str">
        <f>INDEX(Calculator!B4:B7,MATCH(S5,Calculator!A4:A7,0),0)</f>
        <v>Palmeiras</v>
      </c>
      <c r="U5" s="50">
        <f>SUM(V5:X5)</f>
        <v>0</v>
      </c>
      <c r="V5" s="50">
        <f>INDEX(Calculator!C4:C7,MATCH(S5,Calculator!A4:A7,0),0)</f>
        <v>0</v>
      </c>
      <c r="W5" s="50">
        <f>INDEX(Calculator!D4:D7,MATCH(S5,Calculator!A4:A7,0),0)</f>
        <v>0</v>
      </c>
      <c r="X5" s="50">
        <f>INDEX(Calculator!E4:E7,MATCH(S5,Calculator!A4:A7,0),0)</f>
        <v>0</v>
      </c>
      <c r="Y5" s="50" t="str">
        <f>INDEX(Calculator!F4:F7,MATCH(S5,Calculator!A4:A7,0),0)&amp;"-"&amp;INDEX(Calculator!G4:G7,MATCH(S5,Calculator!A4:A7,0),0)</f>
        <v>0-0</v>
      </c>
      <c r="Z5" s="50">
        <f>INDEX(Calculator!I4:I7,MATCH(S5,Calculator!A4:A7,0),0)</f>
        <v>0</v>
      </c>
      <c r="AA5" s="7"/>
      <c r="AB5" s="150"/>
      <c r="AD5" s="46" t="s">
        <v>94</v>
      </c>
      <c r="AE5" s="19"/>
      <c r="AH5" s="47"/>
      <c r="AI5" s="4"/>
      <c r="CR5" s="11"/>
      <c r="CS5" s="11"/>
      <c r="CT5" s="21"/>
      <c r="CU5" s="11"/>
    </row>
    <row r="6" spans="2:99" s="1" customFormat="1" ht="13.35" customHeight="1" x14ac:dyDescent="0.25">
      <c r="B6" s="169">
        <v>3</v>
      </c>
      <c r="C6" s="22" t="s">
        <v>86</v>
      </c>
      <c r="D6" s="82">
        <f>Calculator!EA9</f>
        <v>45823.625</v>
      </c>
      <c r="E6" s="83"/>
      <c r="F6" s="83"/>
      <c r="G6" s="83"/>
      <c r="H6" s="84" t="str">
        <f>INDEX(Language!A1:K117,MATCH(Setup!B12,Language!B1:B117,0),MATCH(Setup!C5,Language!A1:J1,0))</f>
        <v>Paris Saint-Germain</v>
      </c>
      <c r="I6" s="84"/>
      <c r="J6" s="92"/>
      <c r="K6" s="93"/>
      <c r="L6" s="84"/>
      <c r="M6" s="6" t="str">
        <f>INDEX(Language!A1:K117,MATCH(Setup!B13,Language!B1:B117,0),MATCH(Setup!C5,Language!A1:J1,0))</f>
        <v>Atletico Madrid</v>
      </c>
      <c r="N6" s="6"/>
      <c r="O6" s="6"/>
      <c r="P6" s="6"/>
      <c r="Q6" s="85" t="s">
        <v>594</v>
      </c>
      <c r="S6" s="50">
        <v>2</v>
      </c>
      <c r="T6" s="51" t="str">
        <f>INDEX(Calculator!B4:B7,MATCH(S6,Calculator!A4:A7,0),0)</f>
        <v>Porto</v>
      </c>
      <c r="U6" s="50">
        <f t="shared" ref="U6:U8" si="0">SUM(V6:X6)</f>
        <v>0</v>
      </c>
      <c r="V6" s="50">
        <f>INDEX(Calculator!C4:C7,MATCH(S6,Calculator!A4:A7,0),0)</f>
        <v>0</v>
      </c>
      <c r="W6" s="50">
        <f>INDEX(Calculator!D4:D7,MATCH(S6,Calculator!A4:A7,0),0)</f>
        <v>0</v>
      </c>
      <c r="X6" s="50">
        <f>INDEX(Calculator!E4:E7,MATCH(S6,Calculator!A4:A7,0),0)</f>
        <v>0</v>
      </c>
      <c r="Y6" s="50" t="str">
        <f>INDEX(Calculator!F4:F7,MATCH(S6,Calculator!A4:A7,0),0)&amp;"-"&amp;INDEX(Calculator!G4:G7,MATCH(S6,Calculator!A4:A7,0),0)</f>
        <v>0-0</v>
      </c>
      <c r="Z6" s="50">
        <f>INDEX(Calculator!I4:I7,MATCH(S6,Calculator!A4:A7,0),0)</f>
        <v>0</v>
      </c>
      <c r="AA6" s="7"/>
      <c r="AB6" s="150"/>
      <c r="AD6" s="10" t="s">
        <v>641</v>
      </c>
      <c r="CR6" s="11"/>
      <c r="CS6" s="11"/>
      <c r="CT6" s="21"/>
      <c r="CU6" s="11"/>
    </row>
    <row r="7" spans="2:99" s="1" customFormat="1" ht="13.35" customHeight="1" x14ac:dyDescent="0.25">
      <c r="B7" s="169">
        <v>4</v>
      </c>
      <c r="C7" s="86" t="s">
        <v>85</v>
      </c>
      <c r="D7" s="87">
        <f>Calculator!EA10</f>
        <v>45823.75</v>
      </c>
      <c r="E7" s="88"/>
      <c r="F7" s="88"/>
      <c r="G7" s="88"/>
      <c r="H7" s="89" t="str">
        <f>INDEX(Language!A1:K117,MATCH(Setup!B8,Language!B1:B117,0),MATCH(Setup!C5,Language!A1:J1,0))</f>
        <v>Palmeiras</v>
      </c>
      <c r="I7" s="89"/>
      <c r="J7" s="92"/>
      <c r="K7" s="93"/>
      <c r="L7" s="89"/>
      <c r="M7" s="90" t="str">
        <f>INDEX(Language!A1:K117,MATCH(Setup!B9,Language!B1:B117,0),MATCH(Setup!C5,Language!A1:J1,0))</f>
        <v>Porto</v>
      </c>
      <c r="N7" s="90"/>
      <c r="O7" s="90"/>
      <c r="P7" s="90"/>
      <c r="Q7" s="91" t="s">
        <v>595</v>
      </c>
      <c r="S7" s="22">
        <v>3</v>
      </c>
      <c r="T7" s="23" t="str">
        <f>INDEX(Calculator!B4:B7,MATCH(S7,Calculator!A4:A7,0),0)</f>
        <v>Al Ahly</v>
      </c>
      <c r="U7" s="22">
        <f t="shared" si="0"/>
        <v>0</v>
      </c>
      <c r="V7" s="22">
        <f>INDEX(Calculator!C4:C7,MATCH(S7,Calculator!A4:A7,0),0)</f>
        <v>0</v>
      </c>
      <c r="W7" s="22">
        <f>INDEX(Calculator!D4:D7,MATCH(S7,Calculator!A4:A7,0),0)</f>
        <v>0</v>
      </c>
      <c r="X7" s="22">
        <f>INDEX(Calculator!E4:E7,MATCH(S7,Calculator!A4:A7,0),0)</f>
        <v>0</v>
      </c>
      <c r="Y7" s="22" t="str">
        <f>INDEX(Calculator!F4:F7,MATCH(S7,Calculator!A4:A7,0),0)&amp;"-"&amp;INDEX(Calculator!G4:G7,MATCH(S7,Calculator!A4:A7,0),0)</f>
        <v>0-0</v>
      </c>
      <c r="Z7" s="22">
        <f>INDEX(Calculator!I4:I7,MATCH(S7,Calculator!A4:A7,0),0)</f>
        <v>0</v>
      </c>
      <c r="AA7" s="7"/>
      <c r="AB7" s="150"/>
      <c r="AD7" s="12" t="s">
        <v>95</v>
      </c>
      <c r="AE7" s="1" t="s">
        <v>642</v>
      </c>
      <c r="AF7" s="3"/>
      <c r="AH7" s="4"/>
      <c r="AI7" s="4"/>
      <c r="CR7" s="11"/>
      <c r="CS7" s="11"/>
      <c r="CT7" s="21"/>
      <c r="CU7" s="11"/>
    </row>
    <row r="8" spans="2:99" s="1" customFormat="1" ht="13.35" customHeight="1" x14ac:dyDescent="0.25">
      <c r="B8" s="169">
        <v>5</v>
      </c>
      <c r="C8" s="22" t="s">
        <v>86</v>
      </c>
      <c r="D8" s="82">
        <f>Calculator!EA11</f>
        <v>45823.916666666664</v>
      </c>
      <c r="E8" s="83"/>
      <c r="F8" s="83"/>
      <c r="G8" s="83"/>
      <c r="H8" s="84" t="str">
        <f>INDEX(Language!A1:K117,MATCH(Setup!B14,Language!B1:B117,0),MATCH(Setup!C5,Language!A1:J1,0))</f>
        <v>Botafogo</v>
      </c>
      <c r="I8" s="84"/>
      <c r="J8" s="92"/>
      <c r="K8" s="93"/>
      <c r="L8" s="84"/>
      <c r="M8" s="6" t="str">
        <f>INDEX(Language!A1:K117,MATCH(Setup!B15,Language!B1:B117,0),MATCH(Setup!C5,Language!A1:J1,0))</f>
        <v>Seattle Sounders</v>
      </c>
      <c r="N8" s="6"/>
      <c r="O8" s="6"/>
      <c r="P8" s="6"/>
      <c r="Q8" s="85" t="s">
        <v>596</v>
      </c>
      <c r="S8" s="22">
        <v>4</v>
      </c>
      <c r="T8" s="23" t="str">
        <f>INDEX(Calculator!B4:B7,MATCH(S8,Calculator!A4:A7,0),0)</f>
        <v>Inter Miami</v>
      </c>
      <c r="U8" s="22">
        <f t="shared" si="0"/>
        <v>0</v>
      </c>
      <c r="V8" s="22">
        <f>INDEX(Calculator!C4:C7,MATCH(S8,Calculator!A4:A7,0),0)</f>
        <v>0</v>
      </c>
      <c r="W8" s="22">
        <f>INDEX(Calculator!D4:D7,MATCH(S8,Calculator!A4:A7,0),0)</f>
        <v>0</v>
      </c>
      <c r="X8" s="22">
        <f>INDEX(Calculator!E4:E7,MATCH(S8,Calculator!A4:A7,0),0)</f>
        <v>0</v>
      </c>
      <c r="Y8" s="22" t="str">
        <f>INDEX(Calculator!F4:F7,MATCH(S8,Calculator!A4:A7,0),0)&amp;"-"&amp;INDEX(Calculator!G4:G7,MATCH(S8,Calculator!A4:A7,0),0)</f>
        <v>0-0</v>
      </c>
      <c r="Z8" s="22">
        <f>INDEX(Calculator!I4:I7,MATCH(S8,Calculator!A4:A7,0),0)</f>
        <v>0</v>
      </c>
      <c r="AA8" s="7"/>
      <c r="AB8" s="150"/>
      <c r="AD8" s="12" t="s">
        <v>95</v>
      </c>
      <c r="AE8" s="1" t="s">
        <v>643</v>
      </c>
      <c r="AF8" s="3"/>
      <c r="AH8" s="4"/>
      <c r="AI8" s="4"/>
      <c r="CR8" s="11"/>
      <c r="CS8" s="11"/>
      <c r="CT8" s="21"/>
      <c r="CU8" s="11"/>
    </row>
    <row r="9" spans="2:99" s="1" customFormat="1" ht="13.35" customHeight="1" x14ac:dyDescent="0.25">
      <c r="B9" s="169">
        <v>6</v>
      </c>
      <c r="C9" s="86" t="s">
        <v>81</v>
      </c>
      <c r="D9" s="87">
        <f>Calculator!EA12</f>
        <v>45824.625</v>
      </c>
      <c r="E9" s="88"/>
      <c r="F9" s="88"/>
      <c r="G9" s="88"/>
      <c r="H9" s="89" t="str">
        <f>INDEX(Language!A1:K117,MATCH(Setup!B22,Language!B1:B117,0),MATCH(Setup!C5,Language!A1:J1,0))</f>
        <v>Chelsea</v>
      </c>
      <c r="I9" s="89"/>
      <c r="J9" s="92"/>
      <c r="K9" s="93"/>
      <c r="L9" s="89"/>
      <c r="M9" s="90" t="str">
        <f>INDEX(Language!A1:K117,MATCH(Setup!B23,Language!B1:B117,0),MATCH(Setup!C5,Language!A1:J1,0))</f>
        <v>Los Angeles</v>
      </c>
      <c r="N9" s="90"/>
      <c r="O9" s="90"/>
      <c r="P9" s="90"/>
      <c r="Q9" s="91" t="s">
        <v>597</v>
      </c>
      <c r="S9" s="18"/>
      <c r="T9" s="24"/>
      <c r="U9" s="6"/>
      <c r="V9" s="6"/>
      <c r="W9" s="6"/>
      <c r="X9" s="6"/>
      <c r="Y9" s="6"/>
      <c r="Z9" s="6"/>
      <c r="AA9" s="7"/>
      <c r="AB9" s="150"/>
      <c r="AD9" s="12" t="s">
        <v>95</v>
      </c>
      <c r="AE9" s="1" t="s">
        <v>644</v>
      </c>
      <c r="AF9" s="3"/>
      <c r="AH9" s="4"/>
      <c r="AI9" s="4"/>
      <c r="CR9" s="11"/>
      <c r="CS9" s="11"/>
      <c r="CT9" s="21"/>
      <c r="CU9" s="11"/>
    </row>
    <row r="10" spans="2:99" s="1" customFormat="1" ht="13.35" customHeight="1" x14ac:dyDescent="0.25">
      <c r="B10" s="169">
        <v>7</v>
      </c>
      <c r="C10" s="22" t="s">
        <v>87</v>
      </c>
      <c r="D10" s="82">
        <f>Calculator!EA13</f>
        <v>45824.75</v>
      </c>
      <c r="E10" s="83"/>
      <c r="F10" s="83"/>
      <c r="G10" s="83"/>
      <c r="H10" s="84" t="str">
        <f>INDEX(Language!A1:K117,MATCH(Setup!B18,Language!B1:B117,0),MATCH(Setup!C5,Language!A1:J1,0))</f>
        <v>Boca Juniors</v>
      </c>
      <c r="I10" s="84"/>
      <c r="J10" s="92"/>
      <c r="K10" s="93"/>
      <c r="L10" s="84"/>
      <c r="M10" s="6" t="str">
        <f>INDEX(Language!A1:K117,MATCH(Setup!B19,Language!B1:B117,0),MATCH(Setup!C5,Language!A1:J1,0))</f>
        <v>Benfica</v>
      </c>
      <c r="N10" s="6"/>
      <c r="O10" s="6"/>
      <c r="P10" s="6"/>
      <c r="Q10" s="85" t="s">
        <v>592</v>
      </c>
      <c r="S10" s="149" t="str">
        <f>INDEX(Language!A1:K117,MATCH("Group B",Language!B1:B117,0),MATCH(Setup!C5,Language!A1:J1,0))</f>
        <v>Group B</v>
      </c>
      <c r="T10" s="149"/>
      <c r="U10" s="146" t="s">
        <v>79</v>
      </c>
      <c r="V10" s="146" t="s">
        <v>80</v>
      </c>
      <c r="W10" s="146" t="s">
        <v>81</v>
      </c>
      <c r="X10" s="146" t="s">
        <v>82</v>
      </c>
      <c r="Y10" s="146" t="s">
        <v>83</v>
      </c>
      <c r="Z10" s="146" t="s">
        <v>84</v>
      </c>
      <c r="AA10" s="7"/>
      <c r="AB10" s="150"/>
      <c r="AD10" s="12" t="s">
        <v>95</v>
      </c>
      <c r="AE10" s="1" t="s">
        <v>96</v>
      </c>
      <c r="AF10" s="3"/>
      <c r="AH10" s="4"/>
      <c r="AI10" s="28"/>
      <c r="CR10" s="11"/>
      <c r="CS10" s="11"/>
      <c r="CT10" s="21"/>
      <c r="CU10" s="11"/>
    </row>
    <row r="11" spans="2:99" s="1" customFormat="1" ht="13.35" customHeight="1" x14ac:dyDescent="0.25">
      <c r="B11" s="169">
        <v>8</v>
      </c>
      <c r="C11" s="86" t="s">
        <v>81</v>
      </c>
      <c r="D11" s="87">
        <f>Calculator!EA14</f>
        <v>45824.875</v>
      </c>
      <c r="E11" s="88"/>
      <c r="F11" s="88"/>
      <c r="G11" s="88"/>
      <c r="H11" s="89" t="str">
        <f>INDEX(Language!A1:K117,MATCH(Setup!B20,Language!B1:B117,0),MATCH(Setup!C5,Language!A1:J1,0))</f>
        <v>Flamengo</v>
      </c>
      <c r="I11" s="89"/>
      <c r="J11" s="92"/>
      <c r="K11" s="93"/>
      <c r="L11" s="89"/>
      <c r="M11" s="90" t="str">
        <f>INDEX(Language!A1:K117,MATCH(Setup!B21,Language!B1:B117,0),MATCH(Setup!C5,Language!A1:J1,0))</f>
        <v>Espérance Sportive de Tunis</v>
      </c>
      <c r="N11" s="90"/>
      <c r="O11" s="90"/>
      <c r="P11" s="90"/>
      <c r="Q11" s="91" t="s">
        <v>598</v>
      </c>
      <c r="S11" s="52">
        <v>1</v>
      </c>
      <c r="T11" s="53" t="str">
        <f>INDEX(Calculator!B11:B14,MATCH(S11,Calculator!A11:A14,0),0)</f>
        <v>Paris Saint-Germain</v>
      </c>
      <c r="U11" s="52">
        <f>SUM(V11:X11)</f>
        <v>0</v>
      </c>
      <c r="V11" s="52">
        <f>INDEX(Calculator!C11:C14,MATCH(S11,Calculator!A11:A14,0),0)</f>
        <v>0</v>
      </c>
      <c r="W11" s="52">
        <f>INDEX(Calculator!D11:D14,MATCH(S11,Calculator!A11:A14,0),0)</f>
        <v>0</v>
      </c>
      <c r="X11" s="52">
        <f>INDEX(Calculator!E11:E14,MATCH(S11,Calculator!A11:A14,0),0)</f>
        <v>0</v>
      </c>
      <c r="Y11" s="52" t="str">
        <f>INDEX(Calculator!F11:F14,MATCH(S11,Calculator!A11:A14,0),0)&amp;"-"&amp;INDEX(Calculator!G11:G14,MATCH(S11,Calculator!A11:A14,0),0)</f>
        <v>0-0</v>
      </c>
      <c r="Z11" s="52">
        <f>INDEX(Calculator!I11:I14,MATCH(S11,Calculator!A11:A14,0),0)</f>
        <v>0</v>
      </c>
      <c r="AA11" s="7"/>
      <c r="AB11" s="150"/>
      <c r="AD11" s="1" t="s">
        <v>97</v>
      </c>
      <c r="AF11" s="3"/>
      <c r="AH11" s="28"/>
      <c r="AI11" s="28"/>
      <c r="CR11" s="11"/>
      <c r="CS11" s="11"/>
      <c r="CT11" s="21"/>
      <c r="CU11" s="11"/>
    </row>
    <row r="12" spans="2:99" s="1" customFormat="1" ht="13.35" customHeight="1" x14ac:dyDescent="0.25">
      <c r="B12" s="169">
        <v>9</v>
      </c>
      <c r="C12" s="22" t="s">
        <v>88</v>
      </c>
      <c r="D12" s="82">
        <f>Calculator!EA15</f>
        <v>45825.5</v>
      </c>
      <c r="E12" s="83"/>
      <c r="F12" s="83"/>
      <c r="G12" s="83"/>
      <c r="H12" s="84" t="str">
        <f>INDEX(Language!A1:K117,MATCH(Setup!B28,Language!B1:B117,0),MATCH(Setup!C5,Language!A1:J1,0))</f>
        <v>Fluminense</v>
      </c>
      <c r="I12" s="84"/>
      <c r="J12" s="92"/>
      <c r="K12" s="93"/>
      <c r="L12" s="84"/>
      <c r="M12" s="6" t="str">
        <f>INDEX(Language!A1:K117,MATCH(Setup!B29,Language!B1:B117,0),MATCH(Setup!C5,Language!A1:J1,0))</f>
        <v>Borussia Dortmund</v>
      </c>
      <c r="N12" s="6"/>
      <c r="O12" s="6"/>
      <c r="P12" s="6"/>
      <c r="Q12" s="85" t="s">
        <v>595</v>
      </c>
      <c r="S12" s="52">
        <v>2</v>
      </c>
      <c r="T12" s="53" t="str">
        <f>INDEX(Calculator!B11:B14,MATCH(S12,Calculator!A11:A14,0),0)</f>
        <v>Atletico Madrid</v>
      </c>
      <c r="U12" s="52">
        <f t="shared" ref="U12:U14" si="1">SUM(V12:X12)</f>
        <v>0</v>
      </c>
      <c r="V12" s="52">
        <f>INDEX(Calculator!C11:C14,MATCH(S12,Calculator!A11:A14,0),0)</f>
        <v>0</v>
      </c>
      <c r="W12" s="52">
        <f>INDEX(Calculator!D11:D14,MATCH(S12,Calculator!A11:A14,0),0)</f>
        <v>0</v>
      </c>
      <c r="X12" s="52">
        <f>INDEX(Calculator!E11:E14,MATCH(S12,Calculator!A11:A14,0),0)</f>
        <v>0</v>
      </c>
      <c r="Y12" s="52" t="str">
        <f>INDEX(Calculator!F11:F14,MATCH(S12,Calculator!A11:A14,0),0)&amp;"-"&amp;INDEX(Calculator!G11:G14,MATCH(S12,Calculator!A11:A14,0),0)</f>
        <v>0-0</v>
      </c>
      <c r="Z12" s="52">
        <f>INDEX(Calculator!I11:I14,MATCH(S12,Calculator!A11:A14,0),0)</f>
        <v>0</v>
      </c>
      <c r="AA12" s="7"/>
      <c r="AB12" s="150"/>
      <c r="AE12" s="26" t="s">
        <v>98</v>
      </c>
      <c r="AF12" s="27"/>
      <c r="AG12" s="25" t="s">
        <v>471</v>
      </c>
      <c r="AH12" s="28"/>
      <c r="AI12" s="28"/>
      <c r="CR12" s="11"/>
      <c r="CS12" s="11"/>
      <c r="CT12" s="21"/>
      <c r="CU12" s="11"/>
    </row>
    <row r="13" spans="2:99" s="1" customFormat="1" ht="13.35" customHeight="1" x14ac:dyDescent="0.25">
      <c r="B13" s="169">
        <v>10</v>
      </c>
      <c r="C13" s="86" t="s">
        <v>89</v>
      </c>
      <c r="D13" s="87">
        <f>Calculator!EA16</f>
        <v>45825.625</v>
      </c>
      <c r="E13" s="88"/>
      <c r="F13" s="88"/>
      <c r="G13" s="88"/>
      <c r="H13" s="89" t="str">
        <f>INDEX(Language!A1:K117,MATCH(Setup!B24,Language!B1:B117,0),MATCH(Setup!C5,Language!A1:J1,0))</f>
        <v>River Plate</v>
      </c>
      <c r="I13" s="89"/>
      <c r="J13" s="92"/>
      <c r="K13" s="93"/>
      <c r="L13" s="89"/>
      <c r="M13" s="90" t="str">
        <f>INDEX(Language!A1:K117,MATCH(Setup!B25,Language!B1:B117,0),MATCH(Setup!C5,Language!A1:J1,0))</f>
        <v>Urawa Red Diamonds</v>
      </c>
      <c r="N13" s="90"/>
      <c r="O13" s="90"/>
      <c r="P13" s="90"/>
      <c r="Q13" s="91" t="s">
        <v>596</v>
      </c>
      <c r="S13" s="22">
        <v>3</v>
      </c>
      <c r="T13" s="23" t="str">
        <f>INDEX(Calculator!B11:B14,MATCH(S13,Calculator!A11:A14,0),0)</f>
        <v>Botafogo</v>
      </c>
      <c r="U13" s="22">
        <f t="shared" si="1"/>
        <v>0</v>
      </c>
      <c r="V13" s="22">
        <f>INDEX(Calculator!C11:C14,MATCH(S13,Calculator!A11:A14,0),0)</f>
        <v>0</v>
      </c>
      <c r="W13" s="22">
        <f>INDEX(Calculator!D11:D14,MATCH(S13,Calculator!A11:A14,0),0)</f>
        <v>0</v>
      </c>
      <c r="X13" s="22">
        <f>INDEX(Calculator!E11:E14,MATCH(S13,Calculator!A11:A14,0),0)</f>
        <v>0</v>
      </c>
      <c r="Y13" s="22" t="str">
        <f>INDEX(Calculator!F11:F14,MATCH(S13,Calculator!A11:A14,0),0)&amp;"-"&amp;INDEX(Calculator!G11:G14,MATCH(S13,Calculator!A11:A14,0),0)</f>
        <v>0-0</v>
      </c>
      <c r="Z13" s="22">
        <f>INDEX(Calculator!I11:I14,MATCH(S13,Calculator!A11:A14,0),0)</f>
        <v>0</v>
      </c>
      <c r="AA13" s="7"/>
      <c r="AB13" s="150"/>
      <c r="AE13" s="32" t="s">
        <v>98</v>
      </c>
      <c r="AF13" s="27"/>
      <c r="AG13" s="25" t="s">
        <v>473</v>
      </c>
      <c r="AH13" s="28"/>
      <c r="CR13" s="11"/>
      <c r="CS13" s="11"/>
      <c r="CT13" s="21"/>
      <c r="CU13" s="11"/>
    </row>
    <row r="14" spans="2:99" s="1" customFormat="1" ht="13.35" customHeight="1" x14ac:dyDescent="0.25">
      <c r="B14" s="169">
        <v>11</v>
      </c>
      <c r="C14" s="22" t="s">
        <v>88</v>
      </c>
      <c r="D14" s="82">
        <f>Calculator!EA17</f>
        <v>45825.75</v>
      </c>
      <c r="E14" s="83"/>
      <c r="F14" s="83"/>
      <c r="G14" s="83"/>
      <c r="H14" s="84" t="str">
        <f>INDEX(Language!A1:K117,MATCH(Setup!B30,Language!B1:B117,0),MATCH(Setup!C5,Language!A1:J1,0))</f>
        <v>Ulsan HD</v>
      </c>
      <c r="I14" s="84"/>
      <c r="J14" s="92"/>
      <c r="K14" s="93"/>
      <c r="L14" s="84"/>
      <c r="M14" s="6" t="str">
        <f>INDEX(Language!A1:K117,MATCH(Setup!B31,Language!B1:B117,0),MATCH(Setup!C5,Language!A1:J1,0))</f>
        <v>Mamelodi Sundowns</v>
      </c>
      <c r="N14" s="6"/>
      <c r="O14" s="6"/>
      <c r="P14" s="6"/>
      <c r="Q14" s="85" t="s">
        <v>599</v>
      </c>
      <c r="S14" s="22">
        <v>4</v>
      </c>
      <c r="T14" s="23" t="str">
        <f>INDEX(Calculator!B11:B14,MATCH(S14,Calculator!A11:A14,0),0)</f>
        <v>Seattle Sounders</v>
      </c>
      <c r="U14" s="22">
        <f t="shared" si="1"/>
        <v>0</v>
      </c>
      <c r="V14" s="22">
        <f>INDEX(Calculator!C11:C14,MATCH(S14,Calculator!A11:A14,0),0)</f>
        <v>0</v>
      </c>
      <c r="W14" s="22">
        <f>INDEX(Calculator!D11:D14,MATCH(S14,Calculator!A11:A14,0),0)</f>
        <v>0</v>
      </c>
      <c r="X14" s="22">
        <f>INDEX(Calculator!E11:E14,MATCH(S14,Calculator!A11:A14,0),0)</f>
        <v>0</v>
      </c>
      <c r="Y14" s="22" t="str">
        <f>INDEX(Calculator!F11:F14,MATCH(S14,Calculator!A11:A14,0),0)&amp;"-"&amp;INDEX(Calculator!G11:G14,MATCH(S14,Calculator!A11:A14,0),0)</f>
        <v>0-0</v>
      </c>
      <c r="Z14" s="22">
        <f>INDEX(Calculator!I11:I14,MATCH(S14,Calculator!A11:A14,0),0)</f>
        <v>0</v>
      </c>
      <c r="AA14" s="7"/>
      <c r="AB14" s="150"/>
      <c r="AE14" s="31" t="s">
        <v>98</v>
      </c>
      <c r="AF14" s="27"/>
      <c r="AG14" s="25" t="s">
        <v>472</v>
      </c>
      <c r="CR14" s="11"/>
      <c r="CS14" s="11"/>
      <c r="CT14" s="21"/>
      <c r="CU14" s="11"/>
    </row>
    <row r="15" spans="2:99" s="1" customFormat="1" ht="13.35" customHeight="1" x14ac:dyDescent="0.25">
      <c r="B15" s="169">
        <v>12</v>
      </c>
      <c r="C15" s="86" t="s">
        <v>89</v>
      </c>
      <c r="D15" s="87">
        <f>Calculator!EA18</f>
        <v>45825.875</v>
      </c>
      <c r="E15" s="88"/>
      <c r="F15" s="88"/>
      <c r="G15" s="88"/>
      <c r="H15" s="89" t="str">
        <f>INDEX(Language!A1:K117,MATCH(Setup!B26,Language!B1:B117,0),MATCH(Setup!C5,Language!A1:J1,0))</f>
        <v>Monterrey</v>
      </c>
      <c r="I15" s="89"/>
      <c r="J15" s="92"/>
      <c r="K15" s="93"/>
      <c r="L15" s="89"/>
      <c r="M15" s="90" t="str">
        <f>INDEX(Language!A1:K117,MATCH(Setup!B27,Language!B1:B117,0),MATCH(Setup!C5,Language!A1:J1,0))</f>
        <v>Internazionale</v>
      </c>
      <c r="N15" s="90"/>
      <c r="O15" s="90"/>
      <c r="P15" s="90"/>
      <c r="Q15" s="91" t="s">
        <v>594</v>
      </c>
      <c r="S15" s="18"/>
      <c r="T15" s="24"/>
      <c r="U15" s="6"/>
      <c r="V15" s="6"/>
      <c r="W15" s="6"/>
      <c r="X15" s="6"/>
      <c r="Y15" s="6"/>
      <c r="Z15" s="6"/>
      <c r="AA15" s="7"/>
      <c r="AB15" s="150"/>
      <c r="CR15" s="11"/>
      <c r="CS15" s="11"/>
      <c r="CT15" s="21"/>
      <c r="CU15" s="11"/>
    </row>
    <row r="16" spans="2:99" s="1" customFormat="1" ht="13.35" customHeight="1" x14ac:dyDescent="0.25">
      <c r="B16" s="169">
        <v>13</v>
      </c>
      <c r="C16" s="22" t="s">
        <v>90</v>
      </c>
      <c r="D16" s="82">
        <f>Calculator!EA19</f>
        <v>45826.5</v>
      </c>
      <c r="E16" s="83"/>
      <c r="F16" s="83"/>
      <c r="G16" s="83"/>
      <c r="H16" s="84" t="str">
        <f>INDEX(Language!A1:K117,MATCH(Setup!B32,Language!B1:B117,0),MATCH(Setup!C5,Language!A1:J1,0))</f>
        <v>Manchester City</v>
      </c>
      <c r="I16" s="84"/>
      <c r="J16" s="92"/>
      <c r="K16" s="93"/>
      <c r="L16" s="84"/>
      <c r="M16" s="6" t="str">
        <f>INDEX(Language!A1:K117,MATCH(Setup!B33,Language!B1:B117,0),MATCH(Setup!C5,Language!A1:J1,0))</f>
        <v>Wydad AC</v>
      </c>
      <c r="N16" s="6"/>
      <c r="O16" s="6"/>
      <c r="P16" s="6"/>
      <c r="Q16" s="85" t="s">
        <v>598</v>
      </c>
      <c r="S16" s="149" t="str">
        <f>INDEX(Language!A1:K117,MATCH("Group C",Language!B1:B117,0),MATCH(Setup!C5,Language!A1:J1,0))</f>
        <v>Group C</v>
      </c>
      <c r="T16" s="149"/>
      <c r="U16" s="146" t="s">
        <v>79</v>
      </c>
      <c r="V16" s="146" t="s">
        <v>80</v>
      </c>
      <c r="W16" s="146" t="s">
        <v>81</v>
      </c>
      <c r="X16" s="146" t="s">
        <v>82</v>
      </c>
      <c r="Y16" s="146" t="s">
        <v>83</v>
      </c>
      <c r="Z16" s="146" t="s">
        <v>84</v>
      </c>
      <c r="AA16" s="7"/>
      <c r="AB16" s="150"/>
      <c r="AD16" s="230" t="s">
        <v>670</v>
      </c>
      <c r="AE16" s="230"/>
      <c r="AF16" s="230"/>
      <c r="AG16" s="230"/>
      <c r="AH16" s="230"/>
      <c r="AI16" s="230"/>
      <c r="AJ16" s="230"/>
      <c r="AK16" s="230"/>
      <c r="AL16" s="230"/>
      <c r="AM16" s="230"/>
      <c r="CR16" s="11"/>
      <c r="CS16" s="11"/>
      <c r="CT16" s="21"/>
      <c r="CU16" s="11"/>
    </row>
    <row r="17" spans="2:99" s="1" customFormat="1" ht="13.35" customHeight="1" x14ac:dyDescent="0.25">
      <c r="B17" s="169">
        <v>14</v>
      </c>
      <c r="C17" s="86" t="s">
        <v>91</v>
      </c>
      <c r="D17" s="87">
        <f>Calculator!EA20</f>
        <v>45826.625</v>
      </c>
      <c r="E17" s="88"/>
      <c r="F17" s="88"/>
      <c r="G17" s="88"/>
      <c r="H17" s="89" t="str">
        <f>INDEX(Language!A1:K117,MATCH(Setup!B36,Language!B1:B117,0),MATCH(Setup!C5,Language!A1:J1,0))</f>
        <v>Real Madrid</v>
      </c>
      <c r="I17" s="89"/>
      <c r="J17" s="92"/>
      <c r="K17" s="93"/>
      <c r="L17" s="89"/>
      <c r="M17" s="90" t="str">
        <f>INDEX(Language!A1:K117,MATCH(Setup!B37,Language!B1:B117,0),MATCH(Setup!C5,Language!A1:J1,0))</f>
        <v>Al Hilal</v>
      </c>
      <c r="N17" s="90"/>
      <c r="O17" s="90"/>
      <c r="P17" s="90"/>
      <c r="Q17" s="91" t="s">
        <v>592</v>
      </c>
      <c r="S17" s="54">
        <v>1</v>
      </c>
      <c r="T17" s="55" t="str">
        <f>INDEX(Calculator!B18:B21,MATCH(S17,Calculator!A18:A21,0),0)</f>
        <v>Bayern Munich</v>
      </c>
      <c r="U17" s="54">
        <f>SUM(V17:X17)</f>
        <v>0</v>
      </c>
      <c r="V17" s="54">
        <f>INDEX(Calculator!C18:C21,MATCH(S17,Calculator!A18:A21,0),0)</f>
        <v>0</v>
      </c>
      <c r="W17" s="54">
        <f>INDEX(Calculator!D18:D21,MATCH(S17,Calculator!A18:A21,0),0)</f>
        <v>0</v>
      </c>
      <c r="X17" s="54">
        <f>INDEX(Calculator!E18:E21,MATCH(S17,Calculator!A18:A21,0),0)</f>
        <v>0</v>
      </c>
      <c r="Y17" s="54" t="str">
        <f>INDEX(Calculator!F18:F21,MATCH(S17,Calculator!A18:A21,0),0)&amp;"-"&amp;INDEX(Calculator!G18:G21,MATCH(S17,Calculator!A18:A21,0),0)</f>
        <v>0-0</v>
      </c>
      <c r="Z17" s="54">
        <f>INDEX(Calculator!I18:I21,MATCH(S17,Calculator!A18:A21,0),0)</f>
        <v>0</v>
      </c>
      <c r="AA17" s="7"/>
      <c r="AB17" s="150"/>
      <c r="AD17" s="230"/>
      <c r="AE17" s="230"/>
      <c r="AF17" s="230"/>
      <c r="AG17" s="230"/>
      <c r="AH17" s="230"/>
      <c r="AI17" s="230"/>
      <c r="AJ17" s="230"/>
      <c r="AK17" s="230"/>
      <c r="AL17" s="230"/>
      <c r="AM17" s="230"/>
      <c r="CR17" s="11"/>
      <c r="CS17" s="11"/>
      <c r="CT17" s="21"/>
      <c r="CU17" s="11"/>
    </row>
    <row r="18" spans="2:99" s="1" customFormat="1" ht="13.35" customHeight="1" x14ac:dyDescent="0.25">
      <c r="B18" s="169">
        <v>15</v>
      </c>
      <c r="C18" s="22" t="s">
        <v>91</v>
      </c>
      <c r="D18" s="82">
        <f>Calculator!EA21</f>
        <v>45826.75</v>
      </c>
      <c r="E18" s="83"/>
      <c r="F18" s="83"/>
      <c r="G18" s="83"/>
      <c r="H18" s="84" t="str">
        <f>INDEX(Language!A1:K117,MATCH(Setup!B38,Language!B1:B117,0),MATCH(Setup!C5,Language!A1:J1,0))</f>
        <v>Pachuca</v>
      </c>
      <c r="I18" s="84"/>
      <c r="J18" s="92"/>
      <c r="K18" s="93"/>
      <c r="L18" s="84"/>
      <c r="M18" s="6" t="str">
        <f>INDEX(Language!A1:K117,MATCH(Setup!B39,Language!B1:B117,0),MATCH(Setup!C5,Language!A1:J1,0))</f>
        <v>Salzburg</v>
      </c>
      <c r="N18" s="6"/>
      <c r="O18" s="6"/>
      <c r="P18" s="6"/>
      <c r="Q18" s="85" t="s">
        <v>593</v>
      </c>
      <c r="S18" s="54">
        <v>2</v>
      </c>
      <c r="T18" s="55" t="str">
        <f>INDEX(Calculator!B18:B21,MATCH(S18,Calculator!A18:A21,0),0)</f>
        <v>Benfica</v>
      </c>
      <c r="U18" s="54">
        <f t="shared" ref="U18:U20" si="2">SUM(V18:X18)</f>
        <v>0</v>
      </c>
      <c r="V18" s="54">
        <f>INDEX(Calculator!C18:C21,MATCH(S18,Calculator!A18:A21,0),0)</f>
        <v>0</v>
      </c>
      <c r="W18" s="54">
        <f>INDEX(Calculator!D18:D21,MATCH(S18,Calculator!A18:A21,0),0)</f>
        <v>0</v>
      </c>
      <c r="X18" s="54">
        <f>INDEX(Calculator!E18:E21,MATCH(S18,Calculator!A18:A21,0),0)</f>
        <v>0</v>
      </c>
      <c r="Y18" s="54" t="str">
        <f>INDEX(Calculator!F18:F21,MATCH(S18,Calculator!A18:A21,0),0)&amp;"-"&amp;INDEX(Calculator!G18:G21,MATCH(S18,Calculator!A18:A21,0),0)</f>
        <v>0-0</v>
      </c>
      <c r="Z18" s="54">
        <f>INDEX(Calculator!I18:I21,MATCH(S18,Calculator!A18:A21,0),0)</f>
        <v>0</v>
      </c>
      <c r="AA18" s="7"/>
      <c r="AB18" s="150"/>
      <c r="AD18" s="230"/>
      <c r="AE18" s="230"/>
      <c r="AF18" s="230"/>
      <c r="AG18" s="230"/>
      <c r="AH18" s="230"/>
      <c r="AI18" s="230"/>
      <c r="AJ18" s="230"/>
      <c r="AK18" s="230"/>
      <c r="AL18" s="230"/>
      <c r="AM18" s="230"/>
      <c r="CR18" s="11"/>
      <c r="CS18" s="11"/>
      <c r="CT18" s="21"/>
      <c r="CU18" s="11"/>
    </row>
    <row r="19" spans="2:99" s="1" customFormat="1" ht="13.35" customHeight="1" x14ac:dyDescent="0.25">
      <c r="B19" s="169">
        <v>16</v>
      </c>
      <c r="C19" s="86" t="s">
        <v>90</v>
      </c>
      <c r="D19" s="87">
        <f>Calculator!EA22</f>
        <v>45826.875</v>
      </c>
      <c r="E19" s="88"/>
      <c r="F19" s="88"/>
      <c r="G19" s="88"/>
      <c r="H19" s="89" t="str">
        <f>INDEX(Language!A1:K117,MATCH(Setup!B34,Language!B1:B117,0),MATCH(Setup!C5,Language!A1:J1,0))</f>
        <v>Al Ain</v>
      </c>
      <c r="I19" s="89"/>
      <c r="J19" s="92"/>
      <c r="K19" s="93"/>
      <c r="L19" s="89"/>
      <c r="M19" s="90" t="str">
        <f>INDEX(Language!A1:K117,MATCH(Setup!B35,Language!B1:B117,0),MATCH(Setup!C5,Language!A1:J1,0))</f>
        <v>Juventus</v>
      </c>
      <c r="N19" s="90"/>
      <c r="O19" s="90"/>
      <c r="P19" s="90"/>
      <c r="Q19" s="91" t="s">
        <v>600</v>
      </c>
      <c r="S19" s="22">
        <v>3</v>
      </c>
      <c r="T19" s="23" t="str">
        <f>INDEX(Calculator!B18:B21,MATCH(S19,Calculator!A18:A21,0),0)</f>
        <v>Boca Juniors</v>
      </c>
      <c r="U19" s="22">
        <f t="shared" si="2"/>
        <v>0</v>
      </c>
      <c r="V19" s="22">
        <f>INDEX(Calculator!C18:C21,MATCH(S19,Calculator!A18:A21,0),0)</f>
        <v>0</v>
      </c>
      <c r="W19" s="22">
        <f>INDEX(Calculator!D18:D21,MATCH(S19,Calculator!A18:A21,0),0)</f>
        <v>0</v>
      </c>
      <c r="X19" s="22">
        <f>INDEX(Calculator!E18:E21,MATCH(S19,Calculator!A18:A21,0),0)</f>
        <v>0</v>
      </c>
      <c r="Y19" s="22" t="str">
        <f>INDEX(Calculator!F18:F21,MATCH(S19,Calculator!A18:A21,0),0)&amp;"-"&amp;INDEX(Calculator!G18:G21,MATCH(S19,Calculator!A18:A21,0),0)</f>
        <v>0-0</v>
      </c>
      <c r="Z19" s="22">
        <f>INDEX(Calculator!I18:I21,MATCH(S19,Calculator!A18:A21,0),0)</f>
        <v>0</v>
      </c>
      <c r="AA19" s="7"/>
      <c r="AB19" s="150"/>
      <c r="CR19" s="11"/>
      <c r="CS19" s="11"/>
      <c r="CT19" s="21"/>
      <c r="CU19" s="11"/>
    </row>
    <row r="20" spans="2:99" s="1" customFormat="1" ht="13.35" customHeight="1" x14ac:dyDescent="0.25">
      <c r="B20" s="169">
        <v>17</v>
      </c>
      <c r="C20" s="22" t="s">
        <v>85</v>
      </c>
      <c r="D20" s="82">
        <f>Calculator!EA23</f>
        <v>45827.5</v>
      </c>
      <c r="E20" s="83"/>
      <c r="F20" s="83"/>
      <c r="G20" s="83"/>
      <c r="H20" s="84" t="str">
        <f>H7</f>
        <v>Palmeiras</v>
      </c>
      <c r="I20" s="84"/>
      <c r="J20" s="92"/>
      <c r="K20" s="93"/>
      <c r="L20" s="84"/>
      <c r="M20" s="6" t="str">
        <f>H4</f>
        <v>Al Ahly</v>
      </c>
      <c r="N20" s="6"/>
      <c r="O20" s="6"/>
      <c r="P20" s="6"/>
      <c r="Q20" s="85" t="s">
        <v>595</v>
      </c>
      <c r="S20" s="22">
        <v>4</v>
      </c>
      <c r="T20" s="23" t="str">
        <f>INDEX(Calculator!B18:B21,MATCH(S20,Calculator!A18:A21,0),0)</f>
        <v>Auckland City</v>
      </c>
      <c r="U20" s="22">
        <f t="shared" si="2"/>
        <v>0</v>
      </c>
      <c r="V20" s="22">
        <f>INDEX(Calculator!C18:C21,MATCH(S20,Calculator!A18:A21,0),0)</f>
        <v>0</v>
      </c>
      <c r="W20" s="22">
        <f>INDEX(Calculator!D18:D21,MATCH(S20,Calculator!A18:A21,0),0)</f>
        <v>0</v>
      </c>
      <c r="X20" s="22">
        <f>INDEX(Calculator!E18:E21,MATCH(S20,Calculator!A18:A21,0),0)</f>
        <v>0</v>
      </c>
      <c r="Y20" s="22" t="str">
        <f>INDEX(Calculator!F18:F21,MATCH(S20,Calculator!A18:A21,0),0)&amp;"-"&amp;INDEX(Calculator!G18:G21,MATCH(S20,Calculator!A18:A21,0),0)</f>
        <v>0-0</v>
      </c>
      <c r="Z20" s="22">
        <f>INDEX(Calculator!I18:I21,MATCH(S20,Calculator!A18:A21,0),0)</f>
        <v>0</v>
      </c>
      <c r="AA20" s="7"/>
      <c r="AB20" s="150"/>
      <c r="CR20" s="11"/>
      <c r="CS20" s="11"/>
      <c r="CT20" s="21"/>
      <c r="CU20" s="11"/>
    </row>
    <row r="21" spans="2:99" s="1" customFormat="1" ht="13.35" customHeight="1" x14ac:dyDescent="0.25">
      <c r="B21" s="169">
        <v>18</v>
      </c>
      <c r="C21" s="86" t="s">
        <v>85</v>
      </c>
      <c r="D21" s="87">
        <f>Calculator!EA24</f>
        <v>45827.625</v>
      </c>
      <c r="E21" s="88"/>
      <c r="F21" s="88"/>
      <c r="G21" s="88"/>
      <c r="H21" s="89" t="str">
        <f>M4</f>
        <v>Inter Miami</v>
      </c>
      <c r="I21" s="89"/>
      <c r="J21" s="92"/>
      <c r="K21" s="93"/>
      <c r="L21" s="89"/>
      <c r="M21" s="90" t="str">
        <f>M7</f>
        <v>Porto</v>
      </c>
      <c r="N21" s="90"/>
      <c r="O21" s="90"/>
      <c r="P21" s="90"/>
      <c r="Q21" s="91" t="s">
        <v>597</v>
      </c>
      <c r="S21" s="18"/>
      <c r="T21" s="24"/>
      <c r="U21" s="6"/>
      <c r="V21" s="6"/>
      <c r="W21" s="6"/>
      <c r="X21" s="6"/>
      <c r="Y21" s="6"/>
      <c r="Z21" s="6"/>
      <c r="AA21" s="7"/>
      <c r="AB21" s="150"/>
      <c r="CR21" s="11"/>
      <c r="CS21" s="11"/>
      <c r="CT21" s="21"/>
      <c r="CU21" s="11"/>
    </row>
    <row r="22" spans="2:99" s="1" customFormat="1" ht="13.35" customHeight="1" x14ac:dyDescent="0.25">
      <c r="B22" s="169">
        <v>19</v>
      </c>
      <c r="C22" s="22" t="s">
        <v>86</v>
      </c>
      <c r="D22" s="82">
        <f>Calculator!EA25</f>
        <v>45827.75</v>
      </c>
      <c r="E22" s="83"/>
      <c r="F22" s="83"/>
      <c r="G22" s="83"/>
      <c r="H22" s="84" t="str">
        <f>M8</f>
        <v>Seattle Sounders</v>
      </c>
      <c r="I22" s="84"/>
      <c r="J22" s="92"/>
      <c r="K22" s="93"/>
      <c r="L22" s="84"/>
      <c r="M22" s="6" t="str">
        <f>M6</f>
        <v>Atletico Madrid</v>
      </c>
      <c r="N22" s="6"/>
      <c r="O22" s="6"/>
      <c r="P22" s="6"/>
      <c r="Q22" s="85" t="s">
        <v>596</v>
      </c>
      <c r="S22" s="149" t="str">
        <f>INDEX(Language!A1:K117,MATCH("Group D",Language!B1:B117,0),MATCH(Setup!C5,Language!A1:J1,0))</f>
        <v>Group D</v>
      </c>
      <c r="T22" s="149"/>
      <c r="U22" s="146" t="s">
        <v>79</v>
      </c>
      <c r="V22" s="146" t="s">
        <v>80</v>
      </c>
      <c r="W22" s="146" t="s">
        <v>81</v>
      </c>
      <c r="X22" s="146" t="s">
        <v>82</v>
      </c>
      <c r="Y22" s="146" t="s">
        <v>83</v>
      </c>
      <c r="Z22" s="146" t="s">
        <v>84</v>
      </c>
      <c r="AA22" s="7"/>
      <c r="AB22" s="150"/>
      <c r="CR22" s="11"/>
      <c r="CS22" s="11"/>
      <c r="CT22" s="21"/>
      <c r="CU22" s="11"/>
    </row>
    <row r="23" spans="2:99" s="1" customFormat="1" ht="13.35" customHeight="1" x14ac:dyDescent="0.25">
      <c r="B23" s="169">
        <v>20</v>
      </c>
      <c r="C23" s="86" t="s">
        <v>86</v>
      </c>
      <c r="D23" s="87">
        <f>Calculator!EA26</f>
        <v>45827.875</v>
      </c>
      <c r="E23" s="88"/>
      <c r="F23" s="88"/>
      <c r="G23" s="88"/>
      <c r="H23" s="89" t="str">
        <f>H6</f>
        <v>Paris Saint-Germain</v>
      </c>
      <c r="I23" s="89"/>
      <c r="J23" s="92"/>
      <c r="K23" s="93"/>
      <c r="L23" s="89"/>
      <c r="M23" s="90" t="str">
        <f>H8</f>
        <v>Botafogo</v>
      </c>
      <c r="N23" s="90"/>
      <c r="O23" s="90"/>
      <c r="P23" s="90"/>
      <c r="Q23" s="91" t="s">
        <v>594</v>
      </c>
      <c r="S23" s="56">
        <v>1</v>
      </c>
      <c r="T23" s="57" t="str">
        <f>INDEX(Calculator!B25:B28,MATCH(S23,Calculator!A25:A28,0),0)</f>
        <v>Flamengo</v>
      </c>
      <c r="U23" s="56">
        <f>SUM(V23:X23)</f>
        <v>0</v>
      </c>
      <c r="V23" s="56">
        <f>INDEX(Calculator!C25:C28,MATCH(S23,Calculator!A25:A28,0),0)</f>
        <v>0</v>
      </c>
      <c r="W23" s="56">
        <f>INDEX(Calculator!D25:D28,MATCH(S23,Calculator!A25:A28,0),0)</f>
        <v>0</v>
      </c>
      <c r="X23" s="56">
        <f>INDEX(Calculator!E25:E28,MATCH(S23,Calculator!A25:A28,0),0)</f>
        <v>0</v>
      </c>
      <c r="Y23" s="56" t="str">
        <f>INDEX(Calculator!F25:F28,MATCH(S23,Calculator!A25:A28,0),0)&amp;"-"&amp;INDEX(Calculator!G25:G28,MATCH(S23,Calculator!A25:A28,0),0)</f>
        <v>0-0</v>
      </c>
      <c r="Z23" s="56">
        <f>INDEX(Calculator!I25:I28,MATCH(S23,Calculator!A25:A28,0),0)</f>
        <v>0</v>
      </c>
      <c r="AA23" s="7"/>
      <c r="AB23" s="150"/>
      <c r="CR23" s="11"/>
      <c r="CS23" s="11"/>
      <c r="CT23" s="21"/>
      <c r="CU23" s="11"/>
    </row>
    <row r="24" spans="2:99" s="1" customFormat="1" ht="13.35" customHeight="1" x14ac:dyDescent="0.25">
      <c r="B24" s="169">
        <v>21</v>
      </c>
      <c r="C24" s="22" t="s">
        <v>87</v>
      </c>
      <c r="D24" s="82">
        <f>Calculator!EA27</f>
        <v>45828.5</v>
      </c>
      <c r="E24" s="83"/>
      <c r="F24" s="83"/>
      <c r="G24" s="83"/>
      <c r="H24" s="84" t="str">
        <f>M10</f>
        <v>Benfica</v>
      </c>
      <c r="I24" s="84"/>
      <c r="J24" s="92"/>
      <c r="K24" s="93"/>
      <c r="L24" s="84"/>
      <c r="M24" s="6" t="str">
        <f>M5</f>
        <v>Auckland City</v>
      </c>
      <c r="N24" s="6"/>
      <c r="O24" s="6"/>
      <c r="P24" s="6"/>
      <c r="Q24" s="85" t="s">
        <v>599</v>
      </c>
      <c r="S24" s="56">
        <v>2</v>
      </c>
      <c r="T24" s="57" t="str">
        <f>INDEX(Calculator!B25:B28,MATCH(S24,Calculator!A25:A28,0),0)</f>
        <v>Chelsea</v>
      </c>
      <c r="U24" s="56">
        <f t="shared" ref="U24:U26" si="3">SUM(V24:X24)</f>
        <v>0</v>
      </c>
      <c r="V24" s="56">
        <f>INDEX(Calculator!C25:C28,MATCH(S24,Calculator!A25:A28,0),0)</f>
        <v>0</v>
      </c>
      <c r="W24" s="56">
        <f>INDEX(Calculator!D25:D28,MATCH(S24,Calculator!A25:A28,0),0)</f>
        <v>0</v>
      </c>
      <c r="X24" s="56">
        <f>INDEX(Calculator!E25:E28,MATCH(S24,Calculator!A25:A28,0),0)</f>
        <v>0</v>
      </c>
      <c r="Y24" s="56" t="str">
        <f>INDEX(Calculator!F25:F28,MATCH(S24,Calculator!A25:A28,0),0)&amp;"-"&amp;INDEX(Calculator!G25:G28,MATCH(S24,Calculator!A25:A28,0),0)</f>
        <v>0-0</v>
      </c>
      <c r="Z24" s="56">
        <f>INDEX(Calculator!I25:I28,MATCH(S24,Calculator!A25:A28,0),0)</f>
        <v>0</v>
      </c>
      <c r="AA24" s="7"/>
      <c r="AB24" s="150"/>
      <c r="CR24" s="11"/>
      <c r="CS24" s="11"/>
      <c r="CT24" s="21"/>
      <c r="CU24" s="11"/>
    </row>
    <row r="25" spans="2:99" s="1" customFormat="1" ht="13.35" customHeight="1" x14ac:dyDescent="0.25">
      <c r="B25" s="169">
        <v>22</v>
      </c>
      <c r="C25" s="86" t="s">
        <v>81</v>
      </c>
      <c r="D25" s="87">
        <f>Calculator!EA28</f>
        <v>45828.583333333336</v>
      </c>
      <c r="E25" s="88"/>
      <c r="F25" s="88"/>
      <c r="G25" s="88"/>
      <c r="H25" s="89" t="str">
        <f>H11</f>
        <v>Flamengo</v>
      </c>
      <c r="I25" s="89"/>
      <c r="J25" s="92"/>
      <c r="K25" s="93"/>
      <c r="L25" s="89"/>
      <c r="M25" s="90" t="str">
        <f>H9</f>
        <v>Chelsea</v>
      </c>
      <c r="N25" s="90"/>
      <c r="O25" s="90"/>
      <c r="P25" s="90"/>
      <c r="Q25" s="91" t="s">
        <v>598</v>
      </c>
      <c r="S25" s="22">
        <v>3</v>
      </c>
      <c r="T25" s="23" t="str">
        <f>INDEX(Calculator!B25:B28,MATCH(S25,Calculator!A25:A28,0),0)</f>
        <v>Los Angeles</v>
      </c>
      <c r="U25" s="22">
        <f t="shared" si="3"/>
        <v>0</v>
      </c>
      <c r="V25" s="22">
        <f>INDEX(Calculator!C25:C28,MATCH(S25,Calculator!A25:A28,0),0)</f>
        <v>0</v>
      </c>
      <c r="W25" s="22">
        <f>INDEX(Calculator!D25:D28,MATCH(S25,Calculator!A25:A28,0),0)</f>
        <v>0</v>
      </c>
      <c r="X25" s="22">
        <f>INDEX(Calculator!E25:E28,MATCH(S25,Calculator!A25:A28,0),0)</f>
        <v>0</v>
      </c>
      <c r="Y25" s="22" t="str">
        <f>INDEX(Calculator!F25:F28,MATCH(S25,Calculator!A25:A28,0),0)&amp;"-"&amp;INDEX(Calculator!G25:G28,MATCH(S25,Calculator!A25:A28,0),0)</f>
        <v>0-0</v>
      </c>
      <c r="Z25" s="22">
        <f>INDEX(Calculator!I25:I28,MATCH(S25,Calculator!A25:A28,0),0)</f>
        <v>0</v>
      </c>
      <c r="AA25" s="7"/>
      <c r="AB25" s="150"/>
      <c r="CR25" s="11"/>
      <c r="CS25" s="11"/>
      <c r="CT25" s="21"/>
      <c r="CU25" s="11"/>
    </row>
    <row r="26" spans="2:99" s="1" customFormat="1" ht="13.35" customHeight="1" x14ac:dyDescent="0.25">
      <c r="B26" s="169">
        <v>23</v>
      </c>
      <c r="C26" s="22" t="s">
        <v>81</v>
      </c>
      <c r="D26" s="82">
        <f>Calculator!EA29</f>
        <v>45828.75</v>
      </c>
      <c r="E26" s="83"/>
      <c r="F26" s="83"/>
      <c r="G26" s="83"/>
      <c r="H26" s="84" t="str">
        <f>M9</f>
        <v>Los Angeles</v>
      </c>
      <c r="I26" s="84"/>
      <c r="J26" s="92"/>
      <c r="K26" s="93"/>
      <c r="L26" s="84"/>
      <c r="M26" s="6" t="str">
        <f>M11</f>
        <v>Espérance Sportive de Tunis</v>
      </c>
      <c r="N26" s="6"/>
      <c r="O26" s="6"/>
      <c r="P26" s="6"/>
      <c r="Q26" s="85" t="s">
        <v>601</v>
      </c>
      <c r="S26" s="22">
        <v>4</v>
      </c>
      <c r="T26" s="23" t="str">
        <f>INDEX(Calculator!B25:B28,MATCH(S26,Calculator!A25:A28,0),0)</f>
        <v>Espérance Sportive de Tunis</v>
      </c>
      <c r="U26" s="22">
        <f t="shared" si="3"/>
        <v>0</v>
      </c>
      <c r="V26" s="22">
        <f>INDEX(Calculator!C25:C28,MATCH(S26,Calculator!A25:A28,0),0)</f>
        <v>0</v>
      </c>
      <c r="W26" s="22">
        <f>INDEX(Calculator!D25:D28,MATCH(S26,Calculator!A25:A28,0),0)</f>
        <v>0</v>
      </c>
      <c r="X26" s="22">
        <f>INDEX(Calculator!E25:E28,MATCH(S26,Calculator!A25:A28,0),0)</f>
        <v>0</v>
      </c>
      <c r="Y26" s="22" t="str">
        <f>INDEX(Calculator!F25:F28,MATCH(S26,Calculator!A25:A28,0),0)&amp;"-"&amp;INDEX(Calculator!G25:G28,MATCH(S26,Calculator!A25:A28,0),0)</f>
        <v>0-0</v>
      </c>
      <c r="Z26" s="22">
        <f>INDEX(Calculator!I25:I28,MATCH(S26,Calculator!A25:A28,0),0)</f>
        <v>0</v>
      </c>
      <c r="AA26" s="7"/>
      <c r="AB26" s="150"/>
      <c r="CR26" s="11"/>
      <c r="CS26" s="11"/>
      <c r="CT26" s="21"/>
      <c r="CU26" s="11"/>
    </row>
    <row r="27" spans="2:99" s="1" customFormat="1" ht="13.35" customHeight="1" x14ac:dyDescent="0.25">
      <c r="B27" s="169">
        <v>24</v>
      </c>
      <c r="C27" s="86" t="s">
        <v>87</v>
      </c>
      <c r="D27" s="87">
        <f>Calculator!EA30</f>
        <v>45828.875</v>
      </c>
      <c r="E27" s="88"/>
      <c r="F27" s="88"/>
      <c r="G27" s="88"/>
      <c r="H27" s="89" t="str">
        <f>H5</f>
        <v>Bayern Munich</v>
      </c>
      <c r="I27" s="89"/>
      <c r="J27" s="92"/>
      <c r="K27" s="93"/>
      <c r="L27" s="89"/>
      <c r="M27" s="90" t="str">
        <f>H10</f>
        <v>Boca Juniors</v>
      </c>
      <c r="N27" s="90"/>
      <c r="O27" s="90"/>
      <c r="P27" s="90"/>
      <c r="Q27" s="91" t="s">
        <v>592</v>
      </c>
      <c r="S27" s="18"/>
      <c r="T27" s="24"/>
      <c r="U27" s="6"/>
      <c r="V27" s="6"/>
      <c r="W27" s="6"/>
      <c r="X27" s="6"/>
      <c r="Y27" s="6"/>
      <c r="Z27" s="6"/>
      <c r="AA27" s="7"/>
      <c r="AB27" s="150"/>
      <c r="CR27" s="11"/>
      <c r="CS27" s="11"/>
      <c r="CT27" s="21"/>
      <c r="CU27" s="11"/>
    </row>
    <row r="28" spans="2:99" s="1" customFormat="1" ht="13.35" customHeight="1" x14ac:dyDescent="0.25">
      <c r="B28" s="169">
        <v>25</v>
      </c>
      <c r="C28" s="22" t="s">
        <v>88</v>
      </c>
      <c r="D28" s="82">
        <f>Calculator!EA31</f>
        <v>45829.5</v>
      </c>
      <c r="E28" s="83"/>
      <c r="F28" s="83"/>
      <c r="G28" s="83"/>
      <c r="H28" s="84" t="str">
        <f>M14</f>
        <v>Mamelodi Sundowns</v>
      </c>
      <c r="I28" s="84"/>
      <c r="J28" s="92"/>
      <c r="K28" s="93"/>
      <c r="L28" s="84"/>
      <c r="M28" s="6" t="str">
        <f>M12</f>
        <v>Borussia Dortmund</v>
      </c>
      <c r="N28" s="6"/>
      <c r="O28" s="6"/>
      <c r="P28" s="6"/>
      <c r="Q28" s="85" t="s">
        <v>593</v>
      </c>
      <c r="S28" s="149" t="str">
        <f>INDEX(Language!A1:K117,MATCH("Group E",Language!B1:B117,0),MATCH(Setup!C5,Language!A1:J1,0))</f>
        <v>Group E</v>
      </c>
      <c r="T28" s="149"/>
      <c r="U28" s="146" t="s">
        <v>79</v>
      </c>
      <c r="V28" s="146" t="s">
        <v>80</v>
      </c>
      <c r="W28" s="146" t="s">
        <v>81</v>
      </c>
      <c r="X28" s="146" t="s">
        <v>82</v>
      </c>
      <c r="Y28" s="146" t="s">
        <v>83</v>
      </c>
      <c r="Z28" s="146" t="s">
        <v>84</v>
      </c>
      <c r="AA28" s="7"/>
      <c r="AB28" s="150"/>
      <c r="CR28" s="11"/>
      <c r="CS28" s="11"/>
      <c r="CT28" s="21"/>
      <c r="CU28" s="11"/>
    </row>
    <row r="29" spans="2:99" s="1" customFormat="1" ht="13.35" customHeight="1" x14ac:dyDescent="0.25">
      <c r="B29" s="169">
        <v>26</v>
      </c>
      <c r="C29" s="86" t="s">
        <v>89</v>
      </c>
      <c r="D29" s="87">
        <f>Calculator!EA32</f>
        <v>45829.625</v>
      </c>
      <c r="E29" s="88"/>
      <c r="F29" s="88"/>
      <c r="G29" s="88"/>
      <c r="H29" s="89" t="str">
        <f>M15</f>
        <v>Internazionale</v>
      </c>
      <c r="I29" s="89"/>
      <c r="J29" s="92"/>
      <c r="K29" s="93"/>
      <c r="L29" s="89"/>
      <c r="M29" s="90" t="str">
        <f>M13</f>
        <v>Urawa Red Diamonds</v>
      </c>
      <c r="N29" s="90"/>
      <c r="O29" s="90"/>
      <c r="P29" s="90"/>
      <c r="Q29" s="91" t="s">
        <v>596</v>
      </c>
      <c r="S29" s="58">
        <v>1</v>
      </c>
      <c r="T29" s="59" t="str">
        <f>INDEX(Calculator!B31:B34,MATCH(S29,Calculator!A31:A34,0),0)</f>
        <v>River Plate</v>
      </c>
      <c r="U29" s="58">
        <f>SUM(V29:X29)</f>
        <v>0</v>
      </c>
      <c r="V29" s="58">
        <f>INDEX(Calculator!C31:C34,MATCH(S29,Calculator!A31:A34,0),0)</f>
        <v>0</v>
      </c>
      <c r="W29" s="58">
        <f>INDEX(Calculator!D31:D34,MATCH(S29,Calculator!A31:A34,0),0)</f>
        <v>0</v>
      </c>
      <c r="X29" s="58">
        <f>INDEX(Calculator!E31:E34,MATCH(S29,Calculator!A31:A34,0),0)</f>
        <v>0</v>
      </c>
      <c r="Y29" s="58" t="str">
        <f>INDEX(Calculator!F31:F34,MATCH(S29,Calculator!A31:A34,0),0)&amp;"-"&amp;INDEX(Calculator!G31:G34,MATCH(S29,Calculator!A31:A34,0),0)</f>
        <v>0-0</v>
      </c>
      <c r="Z29" s="58">
        <f>INDEX(Calculator!I31:I34,MATCH(S29,Calculator!A31:A34,0),0)</f>
        <v>0</v>
      </c>
      <c r="AA29" s="7"/>
      <c r="AB29" s="150"/>
      <c r="CR29" s="11"/>
      <c r="CS29" s="11"/>
      <c r="CT29" s="21"/>
      <c r="CU29" s="11"/>
    </row>
    <row r="30" spans="2:99" s="1" customFormat="1" ht="13.35" customHeight="1" x14ac:dyDescent="0.25">
      <c r="B30" s="169">
        <v>27</v>
      </c>
      <c r="C30" s="22" t="s">
        <v>88</v>
      </c>
      <c r="D30" s="82">
        <f>Calculator!EA33</f>
        <v>45829.75</v>
      </c>
      <c r="E30" s="83"/>
      <c r="F30" s="83"/>
      <c r="G30" s="83"/>
      <c r="H30" s="84" t="str">
        <f>H12</f>
        <v>Fluminense</v>
      </c>
      <c r="I30" s="84"/>
      <c r="J30" s="92"/>
      <c r="K30" s="93"/>
      <c r="L30" s="84"/>
      <c r="M30" s="6" t="str">
        <f>H14</f>
        <v>Ulsan HD</v>
      </c>
      <c r="N30" s="6"/>
      <c r="O30" s="6"/>
      <c r="P30" s="6"/>
      <c r="Q30" s="85" t="s">
        <v>595</v>
      </c>
      <c r="S30" s="58">
        <v>2</v>
      </c>
      <c r="T30" s="59" t="str">
        <f>INDEX(Calculator!B31:B34,MATCH(S30,Calculator!A31:A34,0),0)</f>
        <v>Internazionale</v>
      </c>
      <c r="U30" s="58">
        <f t="shared" ref="U30:U32" si="4">SUM(V30:X30)</f>
        <v>0</v>
      </c>
      <c r="V30" s="58">
        <f>INDEX(Calculator!C31:C34,MATCH(S30,Calculator!A31:A34,0),0)</f>
        <v>0</v>
      </c>
      <c r="W30" s="58">
        <f>INDEX(Calculator!D31:D34,MATCH(S30,Calculator!A31:A34,0),0)</f>
        <v>0</v>
      </c>
      <c r="X30" s="58">
        <f>INDEX(Calculator!E31:E34,MATCH(S30,Calculator!A31:A34,0),0)</f>
        <v>0</v>
      </c>
      <c r="Y30" s="58" t="str">
        <f>INDEX(Calculator!F31:F34,MATCH(S30,Calculator!A31:A34,0),0)&amp;"-"&amp;INDEX(Calculator!G31:G34,MATCH(S30,Calculator!A31:A34,0),0)</f>
        <v>0-0</v>
      </c>
      <c r="Z30" s="58">
        <f>INDEX(Calculator!I31:I34,MATCH(S30,Calculator!A31:A34,0),0)</f>
        <v>0</v>
      </c>
      <c r="AA30" s="7"/>
      <c r="AB30" s="150"/>
      <c r="CR30" s="11"/>
      <c r="CS30" s="11"/>
      <c r="CT30" s="21"/>
      <c r="CU30" s="11"/>
    </row>
    <row r="31" spans="2:99" s="1" customFormat="1" ht="13.35" customHeight="1" x14ac:dyDescent="0.25">
      <c r="B31" s="169">
        <v>28</v>
      </c>
      <c r="C31" s="86" t="s">
        <v>89</v>
      </c>
      <c r="D31" s="87">
        <f>Calculator!EA34</f>
        <v>45829.875</v>
      </c>
      <c r="E31" s="88"/>
      <c r="F31" s="88"/>
      <c r="G31" s="88"/>
      <c r="H31" s="89" t="str">
        <f>H13</f>
        <v>River Plate</v>
      </c>
      <c r="I31" s="89"/>
      <c r="J31" s="92"/>
      <c r="K31" s="93"/>
      <c r="L31" s="89"/>
      <c r="M31" s="90" t="str">
        <f>H15</f>
        <v>Monterrey</v>
      </c>
      <c r="N31" s="90"/>
      <c r="O31" s="90"/>
      <c r="P31" s="90"/>
      <c r="Q31" s="91" t="s">
        <v>594</v>
      </c>
      <c r="S31" s="22">
        <v>3</v>
      </c>
      <c r="T31" s="23" t="str">
        <f>INDEX(Calculator!B31:B34,MATCH(S31,Calculator!A31:A34,0),0)</f>
        <v>Monterrey</v>
      </c>
      <c r="U31" s="22">
        <f t="shared" si="4"/>
        <v>0</v>
      </c>
      <c r="V31" s="22">
        <f>INDEX(Calculator!C31:C34,MATCH(S31,Calculator!A31:A34,0),0)</f>
        <v>0</v>
      </c>
      <c r="W31" s="22">
        <f>INDEX(Calculator!D31:D34,MATCH(S31,Calculator!A31:A34,0),0)</f>
        <v>0</v>
      </c>
      <c r="X31" s="22">
        <f>INDEX(Calculator!E31:E34,MATCH(S31,Calculator!A31:A34,0),0)</f>
        <v>0</v>
      </c>
      <c r="Y31" s="22" t="str">
        <f>INDEX(Calculator!F31:F34,MATCH(S31,Calculator!A31:A34,0),0)&amp;"-"&amp;INDEX(Calculator!G31:G34,MATCH(S31,Calculator!A31:A34,0),0)</f>
        <v>0-0</v>
      </c>
      <c r="Z31" s="22">
        <f>INDEX(Calculator!I31:I34,MATCH(S31,Calculator!A31:A34,0),0)</f>
        <v>0</v>
      </c>
      <c r="AA31" s="7"/>
      <c r="AB31" s="150"/>
      <c r="CR31" s="11"/>
      <c r="CS31" s="11"/>
      <c r="CT31" s="21"/>
      <c r="CU31" s="11"/>
    </row>
    <row r="32" spans="2:99" s="1" customFormat="1" ht="13.35" customHeight="1" x14ac:dyDescent="0.25">
      <c r="B32" s="169">
        <v>29</v>
      </c>
      <c r="C32" s="22" t="s">
        <v>90</v>
      </c>
      <c r="D32" s="82">
        <f>Calculator!EA35</f>
        <v>45830.5</v>
      </c>
      <c r="E32" s="83"/>
      <c r="F32" s="83"/>
      <c r="G32" s="83"/>
      <c r="H32" s="84" t="str">
        <f>M19</f>
        <v>Juventus</v>
      </c>
      <c r="I32" s="84"/>
      <c r="J32" s="92"/>
      <c r="K32" s="93"/>
      <c r="L32" s="84"/>
      <c r="M32" s="6" t="str">
        <f>M16</f>
        <v>Wydad AC</v>
      </c>
      <c r="N32" s="6"/>
      <c r="O32" s="6"/>
      <c r="P32" s="6"/>
      <c r="Q32" s="85" t="s">
        <v>598</v>
      </c>
      <c r="S32" s="22">
        <v>4</v>
      </c>
      <c r="T32" s="23" t="str">
        <f>INDEX(Calculator!B31:B34,MATCH(S32,Calculator!A31:A34,0),0)</f>
        <v>Urawa Red Diamonds</v>
      </c>
      <c r="U32" s="22">
        <f t="shared" si="4"/>
        <v>0</v>
      </c>
      <c r="V32" s="22">
        <f>INDEX(Calculator!C31:C34,MATCH(S32,Calculator!A31:A34,0),0)</f>
        <v>0</v>
      </c>
      <c r="W32" s="22">
        <f>INDEX(Calculator!D31:D34,MATCH(S32,Calculator!A31:A34,0),0)</f>
        <v>0</v>
      </c>
      <c r="X32" s="22">
        <f>INDEX(Calculator!E31:E34,MATCH(S32,Calculator!A31:A34,0),0)</f>
        <v>0</v>
      </c>
      <c r="Y32" s="22" t="str">
        <f>INDEX(Calculator!F31:F34,MATCH(S32,Calculator!A31:A34,0),0)&amp;"-"&amp;INDEX(Calculator!G31:G34,MATCH(S32,Calculator!A31:A34,0),0)</f>
        <v>0-0</v>
      </c>
      <c r="Z32" s="22">
        <f>INDEX(Calculator!I31:I34,MATCH(S32,Calculator!A31:A34,0),0)</f>
        <v>0</v>
      </c>
      <c r="AA32" s="7"/>
      <c r="AB32" s="150"/>
      <c r="CR32" s="11"/>
      <c r="CS32" s="11"/>
      <c r="CT32" s="21"/>
      <c r="CU32" s="11"/>
    </row>
    <row r="33" spans="2:99" s="1" customFormat="1" ht="13.35" customHeight="1" x14ac:dyDescent="0.25">
      <c r="B33" s="169">
        <v>30</v>
      </c>
      <c r="C33" s="86" t="s">
        <v>91</v>
      </c>
      <c r="D33" s="87">
        <f>Calculator!EA36</f>
        <v>45830.625</v>
      </c>
      <c r="E33" s="88"/>
      <c r="F33" s="88"/>
      <c r="G33" s="88"/>
      <c r="H33" s="89" t="str">
        <f>H17</f>
        <v>Real Madrid</v>
      </c>
      <c r="I33" s="89"/>
      <c r="J33" s="92"/>
      <c r="K33" s="93"/>
      <c r="L33" s="89"/>
      <c r="M33" s="90" t="str">
        <f>H18</f>
        <v>Pachuca</v>
      </c>
      <c r="N33" s="90"/>
      <c r="O33" s="90"/>
      <c r="P33" s="90"/>
      <c r="Q33" s="91" t="s">
        <v>602</v>
      </c>
      <c r="S33" s="18"/>
      <c r="T33" s="24"/>
      <c r="U33" s="6"/>
      <c r="V33" s="6"/>
      <c r="W33" s="6"/>
      <c r="X33" s="6"/>
      <c r="Y33" s="6"/>
      <c r="Z33" s="6"/>
      <c r="AA33" s="7"/>
      <c r="AB33" s="150"/>
      <c r="CR33" s="11"/>
      <c r="CS33" s="11"/>
      <c r="CT33" s="21"/>
      <c r="CU33" s="11"/>
    </row>
    <row r="34" spans="2:99" s="1" customFormat="1" ht="13.35" customHeight="1" x14ac:dyDescent="0.25">
      <c r="B34" s="169">
        <v>31</v>
      </c>
      <c r="C34" s="22" t="s">
        <v>91</v>
      </c>
      <c r="D34" s="82">
        <f>Calculator!EA37</f>
        <v>45830.75</v>
      </c>
      <c r="E34" s="83"/>
      <c r="F34" s="83"/>
      <c r="G34" s="83"/>
      <c r="H34" s="84" t="str">
        <f>M18</f>
        <v>Salzburg</v>
      </c>
      <c r="I34" s="84"/>
      <c r="J34" s="92"/>
      <c r="K34" s="93"/>
      <c r="L34" s="84"/>
      <c r="M34" s="6" t="str">
        <f>M17</f>
        <v>Al Hilal</v>
      </c>
      <c r="N34" s="6"/>
      <c r="O34" s="6"/>
      <c r="P34" s="6"/>
      <c r="Q34" s="85" t="s">
        <v>600</v>
      </c>
      <c r="S34" s="149" t="str">
        <f>INDEX(Language!A1:K117,MATCH("Group F",Language!B1:B117,0),MATCH(Setup!C5,Language!A1:J1,0))</f>
        <v>Group F</v>
      </c>
      <c r="T34" s="149"/>
      <c r="U34" s="146" t="s">
        <v>79</v>
      </c>
      <c r="V34" s="146" t="s">
        <v>80</v>
      </c>
      <c r="W34" s="146" t="s">
        <v>81</v>
      </c>
      <c r="X34" s="146" t="s">
        <v>82</v>
      </c>
      <c r="Y34" s="146" t="s">
        <v>83</v>
      </c>
      <c r="Z34" s="146" t="s">
        <v>84</v>
      </c>
      <c r="AA34" s="7"/>
      <c r="AB34" s="150"/>
      <c r="CR34" s="11"/>
      <c r="CS34" s="11"/>
      <c r="CT34" s="21"/>
      <c r="CU34" s="11"/>
    </row>
    <row r="35" spans="2:99" s="1" customFormat="1" ht="13.35" customHeight="1" x14ac:dyDescent="0.25">
      <c r="B35" s="169">
        <v>32</v>
      </c>
      <c r="C35" s="86" t="s">
        <v>90</v>
      </c>
      <c r="D35" s="87">
        <f>Calculator!EA38</f>
        <v>45830.875</v>
      </c>
      <c r="E35" s="88"/>
      <c r="F35" s="88"/>
      <c r="G35" s="88"/>
      <c r="H35" s="89" t="str">
        <f>H16</f>
        <v>Manchester City</v>
      </c>
      <c r="I35" s="89"/>
      <c r="J35" s="92"/>
      <c r="K35" s="93"/>
      <c r="L35" s="89"/>
      <c r="M35" s="90" t="str">
        <f>H19</f>
        <v>Al Ain</v>
      </c>
      <c r="N35" s="90"/>
      <c r="O35" s="90"/>
      <c r="P35" s="90"/>
      <c r="Q35" s="91" t="s">
        <v>597</v>
      </c>
      <c r="S35" s="62">
        <v>1</v>
      </c>
      <c r="T35" s="63" t="str">
        <f>INDEX(Calculator!B37:B370,MATCH(S35,Calculator!A37:A370,0),0)</f>
        <v>Fluminense</v>
      </c>
      <c r="U35" s="62">
        <f>SUM(V35:X35)</f>
        <v>0</v>
      </c>
      <c r="V35" s="62">
        <f>INDEX(Calculator!C37:C370,MATCH(S35,Calculator!A37:A370,0),0)</f>
        <v>0</v>
      </c>
      <c r="W35" s="62">
        <f>INDEX(Calculator!D37:D370,MATCH(S35,Calculator!A37:A370,0),0)</f>
        <v>0</v>
      </c>
      <c r="X35" s="62">
        <f>INDEX(Calculator!E37:E370,MATCH(S35,Calculator!A37:A370,0),0)</f>
        <v>0</v>
      </c>
      <c r="Y35" s="62" t="str">
        <f>INDEX(Calculator!F37:F370,MATCH(S35,Calculator!A37:A370,0),0)&amp;"-"&amp;INDEX(Calculator!G37:G370,MATCH(S35,Calculator!A37:A370,0),0)</f>
        <v>0-0</v>
      </c>
      <c r="Z35" s="62">
        <f>INDEX(Calculator!I37:I370,MATCH(S35,Calculator!A37:A370,0),0)</f>
        <v>0</v>
      </c>
      <c r="AA35" s="7"/>
      <c r="AB35" s="150"/>
      <c r="CR35" s="11"/>
      <c r="CS35" s="11"/>
      <c r="CT35" s="21"/>
      <c r="CU35" s="11"/>
    </row>
    <row r="36" spans="2:99" s="1" customFormat="1" ht="13.35" customHeight="1" x14ac:dyDescent="0.25">
      <c r="B36" s="169">
        <v>33</v>
      </c>
      <c r="C36" s="22" t="s">
        <v>86</v>
      </c>
      <c r="D36" s="82">
        <f>Calculator!EA39</f>
        <v>45831.625</v>
      </c>
      <c r="E36" s="83"/>
      <c r="F36" s="83"/>
      <c r="G36" s="83"/>
      <c r="H36" s="84" t="str">
        <f>H22</f>
        <v>Seattle Sounders</v>
      </c>
      <c r="I36" s="84"/>
      <c r="J36" s="92"/>
      <c r="K36" s="93"/>
      <c r="L36" s="84"/>
      <c r="M36" s="6" t="str">
        <f>H6</f>
        <v>Paris Saint-Germain</v>
      </c>
      <c r="N36" s="6"/>
      <c r="O36" s="6"/>
      <c r="P36" s="6"/>
      <c r="Q36" s="85" t="s">
        <v>596</v>
      </c>
      <c r="S36" s="62">
        <v>2</v>
      </c>
      <c r="T36" s="63" t="str">
        <f>INDEX(Calculator!B37:B370,MATCH(S36,Calculator!A37:A370,0),0)</f>
        <v>Borussia Dortmund</v>
      </c>
      <c r="U36" s="62">
        <f t="shared" ref="U36:U38" si="5">SUM(V36:X36)</f>
        <v>0</v>
      </c>
      <c r="V36" s="62">
        <f>INDEX(Calculator!C37:C370,MATCH(S36,Calculator!A37:A370,0),0)</f>
        <v>0</v>
      </c>
      <c r="W36" s="62">
        <f>INDEX(Calculator!D37:D370,MATCH(S36,Calculator!A37:A370,0),0)</f>
        <v>0</v>
      </c>
      <c r="X36" s="62">
        <f>INDEX(Calculator!E37:E370,MATCH(S36,Calculator!A37:A370,0),0)</f>
        <v>0</v>
      </c>
      <c r="Y36" s="62" t="str">
        <f>INDEX(Calculator!F37:F370,MATCH(S36,Calculator!A37:A370,0),0)&amp;"-"&amp;INDEX(Calculator!G37:G370,MATCH(S36,Calculator!A37:A370,0),0)</f>
        <v>0-0</v>
      </c>
      <c r="Z36" s="62">
        <f>INDEX(Calculator!I37:I370,MATCH(S36,Calculator!A37:A370,0),0)</f>
        <v>0</v>
      </c>
      <c r="AA36" s="7"/>
      <c r="AB36" s="150"/>
      <c r="CR36" s="11"/>
      <c r="CS36" s="11"/>
      <c r="CT36" s="21"/>
      <c r="CU36" s="11"/>
    </row>
    <row r="37" spans="2:99" s="1" customFormat="1" ht="13.35" customHeight="1" x14ac:dyDescent="0.25">
      <c r="B37" s="169">
        <v>34</v>
      </c>
      <c r="C37" s="86" t="s">
        <v>86</v>
      </c>
      <c r="D37" s="87">
        <f>Calculator!EA40</f>
        <v>45831.625</v>
      </c>
      <c r="E37" s="88"/>
      <c r="F37" s="88"/>
      <c r="G37" s="88"/>
      <c r="H37" s="89" t="str">
        <f>M6</f>
        <v>Atletico Madrid</v>
      </c>
      <c r="I37" s="89"/>
      <c r="J37" s="92"/>
      <c r="K37" s="93"/>
      <c r="L37" s="89"/>
      <c r="M37" s="90" t="str">
        <f>H8</f>
        <v>Botafogo</v>
      </c>
      <c r="N37" s="90"/>
      <c r="O37" s="90"/>
      <c r="P37" s="90"/>
      <c r="Q37" s="91" t="s">
        <v>594</v>
      </c>
      <c r="S37" s="22">
        <v>3</v>
      </c>
      <c r="T37" s="23" t="str">
        <f>INDEX(Calculator!B37:B370,MATCH(S37,Calculator!A37:A370,0),0)</f>
        <v>Ulsan HD</v>
      </c>
      <c r="U37" s="22">
        <f t="shared" si="5"/>
        <v>0</v>
      </c>
      <c r="V37" s="22">
        <f>INDEX(Calculator!C37:C370,MATCH(S37,Calculator!A37:A370,0),0)</f>
        <v>0</v>
      </c>
      <c r="W37" s="22">
        <f>INDEX(Calculator!D37:D370,MATCH(S37,Calculator!A37:A370,0),0)</f>
        <v>0</v>
      </c>
      <c r="X37" s="22">
        <f>INDEX(Calculator!E37:E370,MATCH(S37,Calculator!A37:A370,0),0)</f>
        <v>0</v>
      </c>
      <c r="Y37" s="22" t="str">
        <f>INDEX(Calculator!F37:F370,MATCH(S37,Calculator!A37:A370,0),0)&amp;"-"&amp;INDEX(Calculator!G37:G370,MATCH(S37,Calculator!A37:A370,0),0)</f>
        <v>0-0</v>
      </c>
      <c r="Z37" s="22">
        <f>INDEX(Calculator!I37:I370,MATCH(S37,Calculator!A37:A370,0),0)</f>
        <v>0</v>
      </c>
      <c r="AA37" s="7"/>
      <c r="AB37" s="150"/>
      <c r="CR37" s="11"/>
      <c r="CS37" s="11"/>
      <c r="CT37" s="21"/>
      <c r="CU37" s="11"/>
    </row>
    <row r="38" spans="2:99" s="1" customFormat="1" ht="13.35" customHeight="1" x14ac:dyDescent="0.25">
      <c r="B38" s="169">
        <v>35</v>
      </c>
      <c r="C38" s="22" t="s">
        <v>85</v>
      </c>
      <c r="D38" s="82">
        <f>Calculator!EA41</f>
        <v>45831.875</v>
      </c>
      <c r="E38" s="83"/>
      <c r="F38" s="83"/>
      <c r="G38" s="83"/>
      <c r="H38" s="84" t="str">
        <f>M4</f>
        <v>Inter Miami</v>
      </c>
      <c r="I38" s="84"/>
      <c r="J38" s="92"/>
      <c r="K38" s="93"/>
      <c r="L38" s="84"/>
      <c r="M38" s="6" t="str">
        <f>H7</f>
        <v>Palmeiras</v>
      </c>
      <c r="N38" s="6"/>
      <c r="O38" s="6"/>
      <c r="P38" s="6"/>
      <c r="Q38" s="85" t="s">
        <v>592</v>
      </c>
      <c r="S38" s="22">
        <v>4</v>
      </c>
      <c r="T38" s="23" t="str">
        <f>INDEX(Calculator!B37:B370,MATCH(S38,Calculator!A37:A370,0),0)</f>
        <v>Mamelodi Sundowns</v>
      </c>
      <c r="U38" s="22">
        <f t="shared" si="5"/>
        <v>0</v>
      </c>
      <c r="V38" s="22">
        <f>INDEX(Calculator!C37:C370,MATCH(S38,Calculator!A37:A370,0),0)</f>
        <v>0</v>
      </c>
      <c r="W38" s="22">
        <f>INDEX(Calculator!D37:D370,MATCH(S38,Calculator!A37:A370,0),0)</f>
        <v>0</v>
      </c>
      <c r="X38" s="22">
        <f>INDEX(Calculator!E37:E370,MATCH(S38,Calculator!A37:A370,0),0)</f>
        <v>0</v>
      </c>
      <c r="Y38" s="22" t="str">
        <f>INDEX(Calculator!F37:F370,MATCH(S38,Calculator!A37:A370,0),0)&amp;"-"&amp;INDEX(Calculator!G37:G370,MATCH(S38,Calculator!A37:A370,0),0)</f>
        <v>0-0</v>
      </c>
      <c r="Z38" s="22">
        <f>INDEX(Calculator!I37:I370,MATCH(S38,Calculator!A37:A370,0),0)</f>
        <v>0</v>
      </c>
      <c r="AA38" s="7"/>
      <c r="AB38" s="150"/>
      <c r="CR38" s="11"/>
      <c r="CS38" s="11"/>
      <c r="CT38" s="21"/>
      <c r="CU38" s="11"/>
    </row>
    <row r="39" spans="2:99" s="1" customFormat="1" ht="13.35" customHeight="1" x14ac:dyDescent="0.25">
      <c r="B39" s="169">
        <v>36</v>
      </c>
      <c r="C39" s="86" t="s">
        <v>85</v>
      </c>
      <c r="D39" s="87">
        <f>Calculator!EA42</f>
        <v>45831.875</v>
      </c>
      <c r="E39" s="88"/>
      <c r="F39" s="88"/>
      <c r="G39" s="88"/>
      <c r="H39" s="89" t="str">
        <f>M7</f>
        <v>Porto</v>
      </c>
      <c r="I39" s="89"/>
      <c r="J39" s="92"/>
      <c r="K39" s="93"/>
      <c r="L39" s="89"/>
      <c r="M39" s="90" t="str">
        <f>H4</f>
        <v>Al Ahly</v>
      </c>
      <c r="N39" s="90"/>
      <c r="O39" s="90"/>
      <c r="P39" s="90"/>
      <c r="Q39" s="91" t="s">
        <v>595</v>
      </c>
      <c r="S39" s="18"/>
      <c r="T39" s="24"/>
      <c r="U39" s="6"/>
      <c r="V39" s="6"/>
      <c r="W39" s="6"/>
      <c r="X39" s="6"/>
      <c r="Y39" s="6"/>
      <c r="Z39" s="6"/>
      <c r="AA39" s="7"/>
      <c r="AB39" s="150"/>
      <c r="CR39" s="11"/>
      <c r="CS39" s="11"/>
      <c r="CT39" s="21"/>
      <c r="CU39" s="11"/>
    </row>
    <row r="40" spans="2:99" s="1" customFormat="1" ht="13.35" customHeight="1" x14ac:dyDescent="0.25">
      <c r="B40" s="169">
        <v>37</v>
      </c>
      <c r="C40" s="22" t="s">
        <v>87</v>
      </c>
      <c r="D40" s="82">
        <f>Calculator!EA43</f>
        <v>45832.625</v>
      </c>
      <c r="E40" s="83"/>
      <c r="F40" s="83"/>
      <c r="G40" s="83"/>
      <c r="H40" s="84" t="str">
        <f>M5</f>
        <v>Auckland City</v>
      </c>
      <c r="I40" s="84"/>
      <c r="J40" s="92"/>
      <c r="K40" s="93"/>
      <c r="L40" s="84"/>
      <c r="M40" s="6" t="str">
        <f>H10</f>
        <v>Boca Juniors</v>
      </c>
      <c r="N40" s="6"/>
      <c r="O40" s="6"/>
      <c r="P40" s="6"/>
      <c r="Q40" s="85" t="s">
        <v>601</v>
      </c>
      <c r="S40" s="149" t="str">
        <f>INDEX(Language!A1:K117,MATCH("Group G",Language!B1:B117,0),MATCH(Setup!C5,Language!A1:J1,0))</f>
        <v>Group G</v>
      </c>
      <c r="T40" s="149"/>
      <c r="U40" s="146" t="s">
        <v>79</v>
      </c>
      <c r="V40" s="146" t="s">
        <v>80</v>
      </c>
      <c r="W40" s="146" t="s">
        <v>81</v>
      </c>
      <c r="X40" s="146" t="s">
        <v>82</v>
      </c>
      <c r="Y40" s="146" t="s">
        <v>83</v>
      </c>
      <c r="Z40" s="146" t="s">
        <v>84</v>
      </c>
      <c r="AA40" s="7"/>
      <c r="AB40" s="150"/>
      <c r="CR40" s="11"/>
      <c r="CS40" s="11"/>
      <c r="CT40" s="21"/>
      <c r="CU40" s="11"/>
    </row>
    <row r="41" spans="2:99" s="1" customFormat="1" ht="13.35" customHeight="1" x14ac:dyDescent="0.25">
      <c r="B41" s="169">
        <v>38</v>
      </c>
      <c r="C41" s="86" t="s">
        <v>87</v>
      </c>
      <c r="D41" s="87">
        <f>Calculator!EA44</f>
        <v>45832.625</v>
      </c>
      <c r="E41" s="88"/>
      <c r="F41" s="88"/>
      <c r="G41" s="88"/>
      <c r="H41" s="89" t="str">
        <f>M10</f>
        <v>Benfica</v>
      </c>
      <c r="I41" s="89"/>
      <c r="J41" s="92"/>
      <c r="K41" s="93"/>
      <c r="L41" s="89"/>
      <c r="M41" s="90" t="str">
        <f>H5</f>
        <v>Bayern Munich</v>
      </c>
      <c r="N41" s="90"/>
      <c r="O41" s="90"/>
      <c r="P41" s="90"/>
      <c r="Q41" s="91" t="s">
        <v>602</v>
      </c>
      <c r="S41" s="60">
        <v>1</v>
      </c>
      <c r="T41" s="61" t="str">
        <f>INDEX(Calculator!B43:B46,MATCH(S41,Calculator!A43:A46,0),0)</f>
        <v>Manchester City</v>
      </c>
      <c r="U41" s="60">
        <f>SUM(V41:X41)</f>
        <v>0</v>
      </c>
      <c r="V41" s="60">
        <f>INDEX(Calculator!C43:C46,MATCH(S41,Calculator!A43:A46,0),0)</f>
        <v>0</v>
      </c>
      <c r="W41" s="60">
        <f>INDEX(Calculator!D43:D46,MATCH(S41,Calculator!A43:A46,0),0)</f>
        <v>0</v>
      </c>
      <c r="X41" s="60">
        <f>INDEX(Calculator!E43:E46,MATCH(S41,Calculator!A43:A46,0),0)</f>
        <v>0</v>
      </c>
      <c r="Y41" s="60" t="str">
        <f>INDEX(Calculator!F43:F46,MATCH(S41,Calculator!A43:A46,0),0)&amp;"-"&amp;INDEX(Calculator!G43:G46,MATCH(S41,Calculator!A43:A46,0),0)</f>
        <v>0-0</v>
      </c>
      <c r="Z41" s="60">
        <f>INDEX(Calculator!I43:I46,MATCH(S41,Calculator!A43:A46,0),0)</f>
        <v>0</v>
      </c>
      <c r="AA41" s="7"/>
      <c r="AB41" s="150"/>
      <c r="CR41" s="11"/>
      <c r="CS41" s="11"/>
      <c r="CT41" s="21"/>
      <c r="CU41" s="11"/>
    </row>
    <row r="42" spans="2:99" s="1" customFormat="1" ht="13.35" customHeight="1" x14ac:dyDescent="0.25">
      <c r="B42" s="169">
        <v>39</v>
      </c>
      <c r="C42" s="22" t="s">
        <v>81</v>
      </c>
      <c r="D42" s="82">
        <f>Calculator!EA45</f>
        <v>45832.875</v>
      </c>
      <c r="E42" s="83"/>
      <c r="F42" s="83"/>
      <c r="G42" s="83"/>
      <c r="H42" s="84" t="str">
        <f>M9</f>
        <v>Los Angeles</v>
      </c>
      <c r="I42" s="84"/>
      <c r="J42" s="92"/>
      <c r="K42" s="93"/>
      <c r="L42" s="84"/>
      <c r="M42" s="6" t="str">
        <f>H11</f>
        <v>Flamengo</v>
      </c>
      <c r="N42" s="6"/>
      <c r="O42" s="6"/>
      <c r="P42" s="6"/>
      <c r="Q42" s="85" t="s">
        <v>603</v>
      </c>
      <c r="S42" s="60">
        <v>2</v>
      </c>
      <c r="T42" s="61" t="str">
        <f>INDEX(Calculator!B43:B46,MATCH(S42,Calculator!A43:A46,0),0)</f>
        <v>Juventus</v>
      </c>
      <c r="U42" s="60">
        <f t="shared" ref="U42:U44" si="6">SUM(V42:X42)</f>
        <v>0</v>
      </c>
      <c r="V42" s="60">
        <f>INDEX(Calculator!C43:C46,MATCH(S42,Calculator!A43:A46,0),0)</f>
        <v>0</v>
      </c>
      <c r="W42" s="60">
        <f>INDEX(Calculator!D43:D46,MATCH(S42,Calculator!A43:A46,0),0)</f>
        <v>0</v>
      </c>
      <c r="X42" s="60">
        <f>INDEX(Calculator!E43:E46,MATCH(S42,Calculator!A43:A46,0),0)</f>
        <v>0</v>
      </c>
      <c r="Y42" s="60" t="str">
        <f>INDEX(Calculator!F43:F46,MATCH(S42,Calculator!A43:A46,0),0)&amp;"-"&amp;INDEX(Calculator!G43:G46,MATCH(S42,Calculator!A43:A46,0),0)</f>
        <v>0-0</v>
      </c>
      <c r="Z42" s="60">
        <f>INDEX(Calculator!I43:I46,MATCH(S42,Calculator!A43:A46,0),0)</f>
        <v>0</v>
      </c>
      <c r="AA42" s="7"/>
      <c r="AB42" s="150"/>
      <c r="CR42" s="11"/>
      <c r="CS42" s="11"/>
      <c r="CT42" s="21"/>
      <c r="CU42" s="11"/>
    </row>
    <row r="43" spans="2:99" s="1" customFormat="1" ht="13.35" customHeight="1" x14ac:dyDescent="0.25">
      <c r="B43" s="169">
        <v>40</v>
      </c>
      <c r="C43" s="86" t="s">
        <v>81</v>
      </c>
      <c r="D43" s="87">
        <f>Calculator!EA46</f>
        <v>45832.875</v>
      </c>
      <c r="E43" s="88"/>
      <c r="F43" s="88"/>
      <c r="G43" s="88"/>
      <c r="H43" s="89" t="str">
        <f>M11</f>
        <v>Espérance Sportive de Tunis</v>
      </c>
      <c r="I43" s="89"/>
      <c r="J43" s="92"/>
      <c r="K43" s="93"/>
      <c r="L43" s="89"/>
      <c r="M43" s="90" t="str">
        <f>H9</f>
        <v>Chelsea</v>
      </c>
      <c r="N43" s="90"/>
      <c r="O43" s="90"/>
      <c r="P43" s="90"/>
      <c r="Q43" s="91" t="s">
        <v>598</v>
      </c>
      <c r="S43" s="22">
        <v>3</v>
      </c>
      <c r="T43" s="23" t="str">
        <f>INDEX(Calculator!B43:B46,MATCH(S43,Calculator!A43:A46,0),0)</f>
        <v>Wydad AC</v>
      </c>
      <c r="U43" s="22">
        <f t="shared" si="6"/>
        <v>0</v>
      </c>
      <c r="V43" s="22">
        <f>INDEX(Calculator!C43:C46,MATCH(S43,Calculator!A43:A46,0),0)</f>
        <v>0</v>
      </c>
      <c r="W43" s="22">
        <f>INDEX(Calculator!D43:D46,MATCH(S43,Calculator!A43:A46,0),0)</f>
        <v>0</v>
      </c>
      <c r="X43" s="22">
        <f>INDEX(Calculator!E43:E46,MATCH(S43,Calculator!A43:A46,0),0)</f>
        <v>0</v>
      </c>
      <c r="Y43" s="22" t="str">
        <f>INDEX(Calculator!F43:F46,MATCH(S43,Calculator!A43:A46,0),0)&amp;"-"&amp;INDEX(Calculator!G43:G46,MATCH(S43,Calculator!A43:A46,0),0)</f>
        <v>0-0</v>
      </c>
      <c r="Z43" s="22">
        <f>INDEX(Calculator!I43:I46,MATCH(S43,Calculator!A43:A46,0),0)</f>
        <v>0</v>
      </c>
      <c r="AA43" s="7"/>
      <c r="AB43" s="150"/>
      <c r="CR43" s="11"/>
      <c r="CS43" s="11"/>
      <c r="CT43" s="21"/>
      <c r="CU43" s="11"/>
    </row>
    <row r="44" spans="2:99" s="1" customFormat="1" ht="13.35" customHeight="1" x14ac:dyDescent="0.25">
      <c r="B44" s="169">
        <v>41</v>
      </c>
      <c r="C44" s="22" t="s">
        <v>88</v>
      </c>
      <c r="D44" s="82">
        <f>Calculator!EA47</f>
        <v>45833.625</v>
      </c>
      <c r="E44" s="83"/>
      <c r="F44" s="83"/>
      <c r="G44" s="83"/>
      <c r="H44" s="84" t="str">
        <f>M12</f>
        <v>Borussia Dortmund</v>
      </c>
      <c r="I44" s="84"/>
      <c r="J44" s="92"/>
      <c r="K44" s="93"/>
      <c r="L44" s="84"/>
      <c r="M44" s="6" t="str">
        <f>H14</f>
        <v>Ulsan HD</v>
      </c>
      <c r="N44" s="6"/>
      <c r="O44" s="6"/>
      <c r="P44" s="6"/>
      <c r="Q44" s="85" t="s">
        <v>593</v>
      </c>
      <c r="S44" s="22">
        <v>4</v>
      </c>
      <c r="T44" s="23" t="str">
        <f>INDEX(Calculator!B43:B46,MATCH(S44,Calculator!A43:A46,0),0)</f>
        <v>Al Ain</v>
      </c>
      <c r="U44" s="22">
        <f t="shared" si="6"/>
        <v>0</v>
      </c>
      <c r="V44" s="22">
        <f>INDEX(Calculator!C43:C46,MATCH(S44,Calculator!A43:A46,0),0)</f>
        <v>0</v>
      </c>
      <c r="W44" s="22">
        <f>INDEX(Calculator!D43:D46,MATCH(S44,Calculator!A43:A46,0),0)</f>
        <v>0</v>
      </c>
      <c r="X44" s="22">
        <f>INDEX(Calculator!E43:E46,MATCH(S44,Calculator!A43:A46,0),0)</f>
        <v>0</v>
      </c>
      <c r="Y44" s="22" t="str">
        <f>INDEX(Calculator!F43:F46,MATCH(S44,Calculator!A43:A46,0),0)&amp;"-"&amp;INDEX(Calculator!G43:G46,MATCH(S44,Calculator!A43:A46,0),0)</f>
        <v>0-0</v>
      </c>
      <c r="Z44" s="22">
        <f>INDEX(Calculator!I43:I46,MATCH(S44,Calculator!A43:A46,0),0)</f>
        <v>0</v>
      </c>
      <c r="AA44" s="7"/>
      <c r="AB44" s="150"/>
      <c r="CR44" s="11"/>
      <c r="CS44" s="11"/>
      <c r="CT44" s="21"/>
      <c r="CU44" s="11"/>
    </row>
    <row r="45" spans="2:99" s="1" customFormat="1" ht="13.35" customHeight="1" x14ac:dyDescent="0.25">
      <c r="B45" s="169">
        <v>42</v>
      </c>
      <c r="C45" s="86" t="s">
        <v>88</v>
      </c>
      <c r="D45" s="87">
        <f>Calculator!EA48</f>
        <v>45833.625</v>
      </c>
      <c r="E45" s="88"/>
      <c r="F45" s="88"/>
      <c r="G45" s="88"/>
      <c r="H45" s="89" t="str">
        <f>M14</f>
        <v>Mamelodi Sundowns</v>
      </c>
      <c r="I45" s="89"/>
      <c r="J45" s="92"/>
      <c r="K45" s="93"/>
      <c r="L45" s="89"/>
      <c r="M45" s="90" t="str">
        <f>H12</f>
        <v>Fluminense</v>
      </c>
      <c r="N45" s="90"/>
      <c r="O45" s="90"/>
      <c r="P45" s="90"/>
      <c r="Q45" s="91" t="s">
        <v>592</v>
      </c>
      <c r="S45" s="18"/>
      <c r="T45" s="24"/>
      <c r="U45" s="6"/>
      <c r="V45" s="6"/>
      <c r="W45" s="6"/>
      <c r="X45" s="6"/>
      <c r="Y45" s="6"/>
      <c r="Z45" s="6"/>
      <c r="AA45" s="7"/>
      <c r="AB45" s="150"/>
      <c r="CR45" s="11"/>
      <c r="CS45" s="11"/>
      <c r="CT45" s="21"/>
      <c r="CU45" s="11"/>
    </row>
    <row r="46" spans="2:99" s="1" customFormat="1" ht="13.35" customHeight="1" x14ac:dyDescent="0.25">
      <c r="B46" s="169">
        <v>43</v>
      </c>
      <c r="C46" s="22" t="s">
        <v>89</v>
      </c>
      <c r="D46" s="82">
        <f>Calculator!EA49</f>
        <v>45833.875</v>
      </c>
      <c r="E46" s="83"/>
      <c r="F46" s="83"/>
      <c r="G46" s="83"/>
      <c r="H46" s="84" t="str">
        <f>M15</f>
        <v>Internazionale</v>
      </c>
      <c r="I46" s="84"/>
      <c r="J46" s="92"/>
      <c r="K46" s="93"/>
      <c r="L46" s="84"/>
      <c r="M46" s="6" t="str">
        <f>H13</f>
        <v>River Plate</v>
      </c>
      <c r="N46" s="6"/>
      <c r="O46" s="6"/>
      <c r="P46" s="6"/>
      <c r="Q46" s="85" t="s">
        <v>596</v>
      </c>
      <c r="S46" s="149" t="str">
        <f>INDEX(Language!A1:K117,MATCH("Group H",Language!B1:B117,0),MATCH(Setup!C5,Language!A1:J1,0))</f>
        <v>Group H</v>
      </c>
      <c r="T46" s="149"/>
      <c r="U46" s="146" t="s">
        <v>79</v>
      </c>
      <c r="V46" s="146" t="s">
        <v>80</v>
      </c>
      <c r="W46" s="146" t="s">
        <v>81</v>
      </c>
      <c r="X46" s="146" t="s">
        <v>82</v>
      </c>
      <c r="Y46" s="146" t="s">
        <v>83</v>
      </c>
      <c r="Z46" s="146" t="s">
        <v>84</v>
      </c>
      <c r="AA46" s="7"/>
      <c r="AB46" s="150"/>
      <c r="CR46" s="11"/>
      <c r="CS46" s="11"/>
      <c r="CT46" s="21"/>
      <c r="CU46" s="11"/>
    </row>
    <row r="47" spans="2:99" s="1" customFormat="1" ht="13.35" customHeight="1" x14ac:dyDescent="0.25">
      <c r="B47" s="169">
        <v>44</v>
      </c>
      <c r="C47" s="86" t="s">
        <v>89</v>
      </c>
      <c r="D47" s="87">
        <f>Calculator!EA50</f>
        <v>45833.875</v>
      </c>
      <c r="E47" s="88"/>
      <c r="F47" s="88"/>
      <c r="G47" s="88"/>
      <c r="H47" s="89" t="str">
        <f>M13</f>
        <v>Urawa Red Diamonds</v>
      </c>
      <c r="I47" s="89"/>
      <c r="J47" s="92"/>
      <c r="K47" s="93"/>
      <c r="L47" s="89"/>
      <c r="M47" s="90" t="str">
        <f>H15</f>
        <v>Monterrey</v>
      </c>
      <c r="N47" s="90"/>
      <c r="O47" s="90"/>
      <c r="P47" s="90"/>
      <c r="Q47" s="91" t="s">
        <v>594</v>
      </c>
      <c r="S47" s="147">
        <v>1</v>
      </c>
      <c r="T47" s="148" t="str">
        <f>INDEX(Calculator!B49:B52,MATCH(S47,Calculator!A49:A52,0),0)</f>
        <v>Real Madrid</v>
      </c>
      <c r="U47" s="147">
        <f>SUM(V47:X47)</f>
        <v>0</v>
      </c>
      <c r="V47" s="147">
        <f>INDEX(Calculator!C49:C52,MATCH(S47,Calculator!A49:A52,0),0)</f>
        <v>0</v>
      </c>
      <c r="W47" s="147">
        <f>INDEX(Calculator!D49:D52,MATCH(S47,Calculator!A49:A52,0),0)</f>
        <v>0</v>
      </c>
      <c r="X47" s="147">
        <f>INDEX(Calculator!E49:E52,MATCH(S47,Calculator!A49:A52,0),0)</f>
        <v>0</v>
      </c>
      <c r="Y47" s="147" t="str">
        <f>INDEX(Calculator!F49:F52,MATCH(S47,Calculator!A49:A52,0),0)&amp;"-"&amp;INDEX(Calculator!G49:G52,MATCH(S47,Calculator!A49:A52,0),0)</f>
        <v>0-0</v>
      </c>
      <c r="Z47" s="147">
        <f>INDEX(Calculator!I49:I52,MATCH(S47,Calculator!A49:A52,0),0)</f>
        <v>0</v>
      </c>
      <c r="AA47" s="7"/>
      <c r="AB47" s="150"/>
      <c r="CR47" s="11"/>
      <c r="CS47" s="11"/>
      <c r="CT47" s="21"/>
      <c r="CU47" s="11"/>
    </row>
    <row r="48" spans="2:99" s="1" customFormat="1" ht="13.35" customHeight="1" x14ac:dyDescent="0.25">
      <c r="B48" s="169">
        <v>45</v>
      </c>
      <c r="C48" s="22" t="s">
        <v>90</v>
      </c>
      <c r="D48" s="82">
        <f>Calculator!EA51</f>
        <v>45834.625</v>
      </c>
      <c r="E48" s="83"/>
      <c r="F48" s="83"/>
      <c r="G48" s="83"/>
      <c r="H48" s="84" t="str">
        <f>M19</f>
        <v>Juventus</v>
      </c>
      <c r="I48" s="84"/>
      <c r="J48" s="92"/>
      <c r="K48" s="93"/>
      <c r="L48" s="84"/>
      <c r="M48" s="6" t="str">
        <f>H16</f>
        <v>Manchester City</v>
      </c>
      <c r="N48" s="6"/>
      <c r="O48" s="6"/>
      <c r="P48" s="6"/>
      <c r="Q48" s="85" t="s">
        <v>603</v>
      </c>
      <c r="S48" s="147">
        <v>2</v>
      </c>
      <c r="T48" s="148" t="str">
        <f>INDEX(Calculator!B49:B52,MATCH(S48,Calculator!A49:A52,0),0)</f>
        <v>Salzburg</v>
      </c>
      <c r="U48" s="147">
        <f t="shared" ref="U48:U50" si="7">SUM(V48:X48)</f>
        <v>0</v>
      </c>
      <c r="V48" s="147">
        <f>INDEX(Calculator!C49:C52,MATCH(S48,Calculator!A49:A52,0),0)</f>
        <v>0</v>
      </c>
      <c r="W48" s="147">
        <f>INDEX(Calculator!D49:D52,MATCH(S48,Calculator!A49:A52,0),0)</f>
        <v>0</v>
      </c>
      <c r="X48" s="147">
        <f>INDEX(Calculator!E49:E52,MATCH(S48,Calculator!A49:A52,0),0)</f>
        <v>0</v>
      </c>
      <c r="Y48" s="147" t="str">
        <f>INDEX(Calculator!F49:F52,MATCH(S48,Calculator!A49:A52,0),0)&amp;"-"&amp;INDEX(Calculator!G49:G52,MATCH(S48,Calculator!A49:A52,0),0)</f>
        <v>0-0</v>
      </c>
      <c r="Z48" s="147">
        <f>INDEX(Calculator!I49:I52,MATCH(S48,Calculator!A49:A52,0),0)</f>
        <v>0</v>
      </c>
      <c r="AA48" s="7"/>
      <c r="AB48" s="150"/>
      <c r="CR48" s="11"/>
      <c r="CS48" s="11"/>
      <c r="CT48" s="21"/>
      <c r="CU48" s="11"/>
    </row>
    <row r="49" spans="1:99" s="1" customFormat="1" ht="13.35" customHeight="1" x14ac:dyDescent="0.25">
      <c r="B49" s="169">
        <v>46</v>
      </c>
      <c r="C49" s="86" t="s">
        <v>90</v>
      </c>
      <c r="D49" s="87">
        <f>Calculator!EA52</f>
        <v>45834.625</v>
      </c>
      <c r="E49" s="88"/>
      <c r="F49" s="88"/>
      <c r="G49" s="88"/>
      <c r="H49" s="89" t="str">
        <f>M16</f>
        <v>Wydad AC</v>
      </c>
      <c r="I49" s="89"/>
      <c r="J49" s="92"/>
      <c r="K49" s="93"/>
      <c r="L49" s="89"/>
      <c r="M49" s="90" t="str">
        <f>H19</f>
        <v>Al Ain</v>
      </c>
      <c r="N49" s="90"/>
      <c r="O49" s="90"/>
      <c r="P49" s="90"/>
      <c r="Q49" s="91" t="s">
        <v>600</v>
      </c>
      <c r="S49" s="22">
        <v>3</v>
      </c>
      <c r="T49" s="23" t="str">
        <f>INDEX(Calculator!B49:B52,MATCH(S49,Calculator!A49:A52,0),0)</f>
        <v>Al Hilal</v>
      </c>
      <c r="U49" s="22">
        <f t="shared" si="7"/>
        <v>0</v>
      </c>
      <c r="V49" s="22">
        <f>INDEX(Calculator!C49:C52,MATCH(S49,Calculator!A49:A52,0),0)</f>
        <v>0</v>
      </c>
      <c r="W49" s="22">
        <f>INDEX(Calculator!D49:D52,MATCH(S49,Calculator!A49:A52,0),0)</f>
        <v>0</v>
      </c>
      <c r="X49" s="22">
        <f>INDEX(Calculator!E49:E52,MATCH(S49,Calculator!A49:A52,0),0)</f>
        <v>0</v>
      </c>
      <c r="Y49" s="22" t="str">
        <f>INDEX(Calculator!F49:F52,MATCH(S49,Calculator!A49:A52,0),0)&amp;"-"&amp;INDEX(Calculator!G49:G52,MATCH(S49,Calculator!A49:A52,0),0)</f>
        <v>0-0</v>
      </c>
      <c r="Z49" s="22">
        <f>INDEX(Calculator!I49:I52,MATCH(S49,Calculator!A49:A52,0),0)</f>
        <v>0</v>
      </c>
      <c r="AA49" s="7"/>
      <c r="AB49" s="150"/>
      <c r="CR49" s="11"/>
      <c r="CS49" s="11"/>
      <c r="CT49" s="21"/>
      <c r="CU49" s="11"/>
    </row>
    <row r="50" spans="1:99" s="1" customFormat="1" ht="13.35" customHeight="1" x14ac:dyDescent="0.25">
      <c r="B50" s="169">
        <v>47</v>
      </c>
      <c r="C50" s="22" t="s">
        <v>91</v>
      </c>
      <c r="D50" s="82">
        <f>Calculator!EA53</f>
        <v>45834.875</v>
      </c>
      <c r="E50" s="83"/>
      <c r="F50" s="83"/>
      <c r="G50" s="83"/>
      <c r="H50" s="84" t="str">
        <f>M17</f>
        <v>Al Hilal</v>
      </c>
      <c r="I50" s="84"/>
      <c r="J50" s="92"/>
      <c r="K50" s="93"/>
      <c r="L50" s="84"/>
      <c r="M50" s="6" t="str">
        <f>H18</f>
        <v>Pachuca</v>
      </c>
      <c r="N50" s="6"/>
      <c r="O50" s="6"/>
      <c r="P50" s="6"/>
      <c r="Q50" s="85" t="s">
        <v>601</v>
      </c>
      <c r="S50" s="22">
        <v>4</v>
      </c>
      <c r="T50" s="23" t="str">
        <f>INDEX(Calculator!B49:B52,MATCH(S50,Calculator!A49:A52,0),0)</f>
        <v>Pachuca</v>
      </c>
      <c r="U50" s="22">
        <f t="shared" si="7"/>
        <v>0</v>
      </c>
      <c r="V50" s="22">
        <f>INDEX(Calculator!C49:C52,MATCH(S50,Calculator!A49:A52,0),0)</f>
        <v>0</v>
      </c>
      <c r="W50" s="22">
        <f>INDEX(Calculator!D49:D52,MATCH(S50,Calculator!A49:A52,0),0)</f>
        <v>0</v>
      </c>
      <c r="X50" s="22">
        <f>INDEX(Calculator!E49:E52,MATCH(S50,Calculator!A49:A52,0),0)</f>
        <v>0</v>
      </c>
      <c r="Y50" s="22" t="str">
        <f>INDEX(Calculator!F49:F52,MATCH(S50,Calculator!A49:A52,0),0)&amp;"-"&amp;INDEX(Calculator!G49:G52,MATCH(S50,Calculator!A49:A52,0),0)</f>
        <v>0-0</v>
      </c>
      <c r="Z50" s="22">
        <f>INDEX(Calculator!I49:I52,MATCH(S50,Calculator!A49:A52,0),0)</f>
        <v>0</v>
      </c>
      <c r="AA50" s="7"/>
      <c r="AB50" s="150"/>
      <c r="CR50" s="11"/>
      <c r="CS50" s="11"/>
      <c r="CT50" s="21"/>
      <c r="CU50" s="11"/>
    </row>
    <row r="51" spans="1:99" s="1" customFormat="1" ht="13.35" customHeight="1" x14ac:dyDescent="0.25">
      <c r="B51" s="169">
        <v>48</v>
      </c>
      <c r="C51" s="86" t="s">
        <v>91</v>
      </c>
      <c r="D51" s="87">
        <f>Calculator!EA54</f>
        <v>45834.875</v>
      </c>
      <c r="E51" s="88"/>
      <c r="F51" s="88"/>
      <c r="G51" s="88"/>
      <c r="H51" s="89" t="str">
        <f>M18</f>
        <v>Salzburg</v>
      </c>
      <c r="I51" s="89"/>
      <c r="J51" s="92"/>
      <c r="K51" s="93"/>
      <c r="L51" s="89"/>
      <c r="M51" s="90" t="str">
        <f>H17</f>
        <v>Real Madrid</v>
      </c>
      <c r="N51" s="90"/>
      <c r="O51" s="90"/>
      <c r="P51" s="90"/>
      <c r="Q51" s="91" t="s">
        <v>598</v>
      </c>
      <c r="R51" s="6"/>
      <c r="S51" s="6"/>
      <c r="T51" s="6"/>
      <c r="U51" s="6"/>
      <c r="V51" s="6"/>
      <c r="AA51" s="7"/>
      <c r="AB51" s="150"/>
      <c r="CR51" s="11"/>
      <c r="CS51" s="11"/>
      <c r="CT51" s="21"/>
      <c r="CU51" s="11"/>
    </row>
    <row r="52" spans="1:99" s="1" customFormat="1" ht="14.45" customHeight="1" thickBot="1" x14ac:dyDescent="0.3">
      <c r="B52" s="192">
        <v>49</v>
      </c>
      <c r="D52" s="82"/>
      <c r="AB52" s="150"/>
      <c r="CP52" s="11"/>
      <c r="CQ52" s="11"/>
      <c r="CR52" s="21"/>
      <c r="CS52" s="11"/>
    </row>
    <row r="53" spans="1:99" s="1" customFormat="1" ht="18" customHeight="1" thickTop="1" thickBot="1" x14ac:dyDescent="0.3">
      <c r="B53" s="157"/>
      <c r="C53" s="158" t="str">
        <f>INDEX(Translation,MATCH("Round of 16",TransRef,0),MATCH(Setup!C5,LanguageRef,0))</f>
        <v>Round of 16</v>
      </c>
      <c r="D53" s="159"/>
      <c r="E53" s="160"/>
      <c r="F53" s="160"/>
      <c r="G53" s="158" t="str">
        <f>INDEX(Translation,MATCH("Quarter Finals",TransRef,0),MATCH(Setup!C5,LanguageRef,0))</f>
        <v>Quarter Finals</v>
      </c>
      <c r="H53" s="161"/>
      <c r="I53" s="161"/>
      <c r="J53" s="162"/>
      <c r="K53" s="158" t="str">
        <f>INDEX(Translation,MATCH("Semi Finals",TransRef,0),MATCH(Setup!C5,LanguageRef,0))</f>
        <v>Semi Finals</v>
      </c>
      <c r="L53" s="161"/>
      <c r="M53" s="163"/>
      <c r="N53" s="164"/>
      <c r="O53" s="164"/>
      <c r="P53" s="164"/>
      <c r="Q53" s="165"/>
      <c r="R53" s="165"/>
      <c r="S53" s="166"/>
      <c r="T53" s="241" t="str">
        <f>UPPER(INDEX(Translation,MATCH("Club World Cup 2025 Champion",TransRef,0),MATCH(Setup!C5,LanguageRef,0)))</f>
        <v>CLUB WORLD CUP 2025 CHAMPION</v>
      </c>
      <c r="U53" s="241"/>
      <c r="V53" s="241"/>
      <c r="W53" s="241"/>
      <c r="X53" s="241"/>
      <c r="Y53" s="241"/>
      <c r="Z53" s="242"/>
      <c r="AA53" s="7"/>
      <c r="AB53" s="150"/>
      <c r="CP53" s="11"/>
      <c r="CQ53" s="11"/>
      <c r="CR53" s="21"/>
      <c r="CS53" s="11"/>
    </row>
    <row r="54" spans="1:99" s="1" customFormat="1" ht="18" customHeight="1" thickTop="1" x14ac:dyDescent="0.25">
      <c r="C54" s="178">
        <v>49</v>
      </c>
      <c r="D54" s="179">
        <f>Calculator!EA55</f>
        <v>45836.5</v>
      </c>
      <c r="E54" s="180"/>
      <c r="F54" s="180"/>
      <c r="G54" s="94"/>
      <c r="H54" s="95"/>
      <c r="I54" s="95"/>
      <c r="J54" s="94"/>
      <c r="K54" s="96"/>
      <c r="L54" s="96"/>
      <c r="M54" s="96"/>
      <c r="N54" s="96"/>
      <c r="O54" s="96"/>
      <c r="P54" s="97"/>
      <c r="Q54" s="95"/>
      <c r="R54" s="95"/>
      <c r="S54" s="95"/>
      <c r="T54" s="243"/>
      <c r="U54" s="244"/>
      <c r="V54" s="244"/>
      <c r="W54" s="244"/>
      <c r="X54" s="244"/>
      <c r="Y54" s="244"/>
      <c r="Z54" s="245"/>
      <c r="AA54" s="7"/>
      <c r="AB54" s="150"/>
      <c r="CP54" s="11"/>
      <c r="CQ54" s="11"/>
      <c r="CR54" s="21"/>
      <c r="CS54" s="11"/>
    </row>
    <row r="55" spans="1:99" s="1" customFormat="1" ht="18" customHeight="1" x14ac:dyDescent="0.25">
      <c r="C55" s="83"/>
      <c r="D55" s="98" t="str">
        <f>IF(SUM(U5:U8)=12,T5,INDEX(Translation,MATCH("Group A Winner",TransRef,0),MATCH(Setup!C5,LanguageRef,0)))</f>
        <v>Group A Winner</v>
      </c>
      <c r="E55" s="99"/>
      <c r="F55" s="100"/>
      <c r="G55" s="6"/>
      <c r="H55" s="24"/>
      <c r="I55" s="6"/>
      <c r="J55" s="6"/>
      <c r="K55" s="6"/>
      <c r="L55" s="24"/>
      <c r="M55" s="24"/>
      <c r="N55" s="6"/>
      <c r="O55" s="6"/>
      <c r="P55" s="6"/>
      <c r="Q55" s="6"/>
      <c r="R55" s="6"/>
      <c r="S55" s="6"/>
      <c r="T55" s="243"/>
      <c r="U55" s="244"/>
      <c r="V55" s="244"/>
      <c r="W55" s="244"/>
      <c r="X55" s="244"/>
      <c r="Y55" s="244"/>
      <c r="Z55" s="245"/>
      <c r="AA55" s="7"/>
      <c r="AB55" s="150"/>
      <c r="CP55" s="11"/>
      <c r="CQ55" s="11"/>
      <c r="CR55" s="21" t="s">
        <v>92</v>
      </c>
      <c r="CS55" s="11"/>
    </row>
    <row r="56" spans="1:99" s="1" customFormat="1" ht="18" customHeight="1" thickBot="1" x14ac:dyDescent="0.3">
      <c r="C56" s="83"/>
      <c r="D56" s="101" t="str">
        <f>IF(SUM(U11:U14)=12,T12,INDEX(Translation,MATCH("Group B Runner Up",TransRef,0),MATCH(Setup!C5,LanguageRef,0)))</f>
        <v>Group B Runner Up</v>
      </c>
      <c r="E56" s="102"/>
      <c r="F56" s="103"/>
      <c r="G56" s="177">
        <v>58</v>
      </c>
      <c r="H56" s="249">
        <f>Calculator!EA64</f>
        <v>45842.875</v>
      </c>
      <c r="I56" s="249"/>
      <c r="J56" s="249"/>
      <c r="K56" s="6"/>
      <c r="L56" s="24"/>
      <c r="M56" s="24"/>
      <c r="N56" s="6"/>
      <c r="O56" s="6"/>
      <c r="P56" s="6"/>
      <c r="Q56" s="6"/>
      <c r="R56" s="6"/>
      <c r="S56" s="6"/>
      <c r="T56" s="246"/>
      <c r="U56" s="247"/>
      <c r="V56" s="247"/>
      <c r="W56" s="247"/>
      <c r="X56" s="247"/>
      <c r="Y56" s="247"/>
      <c r="Z56" s="248"/>
      <c r="AA56" s="7"/>
      <c r="AB56" s="150"/>
      <c r="CP56" s="11"/>
      <c r="CQ56" s="11"/>
      <c r="CR56" s="21"/>
      <c r="CS56" s="11"/>
    </row>
    <row r="57" spans="1:99" s="1" customFormat="1" ht="18" customHeight="1" thickTop="1" thickBot="1" x14ac:dyDescent="0.3">
      <c r="C57" s="167"/>
      <c r="D57" s="228" t="s">
        <v>598</v>
      </c>
      <c r="E57" s="228"/>
      <c r="F57" s="228"/>
      <c r="G57" s="104"/>
      <c r="H57" s="105" t="str">
        <f>IF(AND(E55&lt;&gt;"",E56&lt;&gt;""),IF((E55+F55)&gt;(E56+F56),D55,IF((E55+F55)&lt;(E56+F56),D56,INDEX(Translation,MATCH("Match 49 Winner",TransRef,0),MATCH(Setup!C5,LanguageRef,0)))),INDEX(Translation,MATCH("Match 49 Winner",TransRef,0),MATCH(Setup!C5,LanguageRef,0)))</f>
        <v>Match 49 Winner</v>
      </c>
      <c r="I57" s="99"/>
      <c r="J57" s="100"/>
      <c r="K57" s="6"/>
      <c r="L57" s="24"/>
      <c r="M57" s="24"/>
      <c r="N57" s="6"/>
      <c r="O57" s="95"/>
      <c r="P57" s="95"/>
      <c r="Q57" s="106"/>
      <c r="R57" s="6"/>
      <c r="S57" s="6"/>
      <c r="T57" s="237" t="str">
        <f>UPPER(IF(AND(R69&lt;&gt;"",R70&lt;&gt;""),IF((R69+S69)&gt;(R70+S70),Q69,IF((R69+S69)&lt;(R70+S70),Q70,INDEX(Translation,MATCH("Club World Cup 2025 Champion",TransRef,0),MATCH(Setup!C5,LanguageRef,0)))),INDEX(Translation,MATCH("Club World Cup 2025 Champion",TransRef,0),MATCH(Setup!C5,LanguageRef,0))))</f>
        <v>CLUB WORLD CUP 2025 CHAMPION</v>
      </c>
      <c r="U57" s="237"/>
      <c r="V57" s="237"/>
      <c r="W57" s="237"/>
      <c r="X57" s="237"/>
      <c r="Y57" s="237"/>
      <c r="Z57" s="237"/>
      <c r="AA57" s="7"/>
      <c r="AB57" s="150"/>
      <c r="CP57" s="11"/>
      <c r="CQ57" s="11"/>
      <c r="CR57" s="21"/>
      <c r="CS57" s="11"/>
    </row>
    <row r="58" spans="1:99" s="1" customFormat="1" ht="18" customHeight="1" thickTop="1" x14ac:dyDescent="0.25">
      <c r="C58" s="178">
        <v>50</v>
      </c>
      <c r="D58" s="179">
        <f>Calculator!EA56</f>
        <v>45836.666666666664</v>
      </c>
      <c r="E58" s="181"/>
      <c r="F58" s="181"/>
      <c r="G58" s="94"/>
      <c r="H58" s="24" t="str">
        <f>IF(AND(E59&lt;&gt;"",E60&lt;&gt;""),IF((E59+F59)&gt;(E60+F60),D59,IF((E59+F59)&lt;(E60+F60),D60,INDEX(Translation,MATCH("Match 50 Winner",TransRef,0),MATCH(Setup!C5,LanguageRef,0)))),INDEX(Translation,MATCH("Match 50 Winner",TransRef,0),MATCH(Setup!C5,LanguageRef,0)))</f>
        <v>Match 50 Winner</v>
      </c>
      <c r="I58" s="102"/>
      <c r="J58" s="103"/>
      <c r="K58" s="6"/>
      <c r="L58" s="97"/>
      <c r="M58" s="97"/>
      <c r="N58" s="6"/>
      <c r="O58" s="95"/>
      <c r="P58" s="95"/>
      <c r="Q58" s="106"/>
      <c r="R58" s="6"/>
      <c r="S58" s="6"/>
      <c r="T58" s="238"/>
      <c r="U58" s="238"/>
      <c r="V58" s="238"/>
      <c r="W58" s="238"/>
      <c r="X58" s="238"/>
      <c r="Y58" s="238"/>
      <c r="Z58" s="238"/>
      <c r="AA58" s="7"/>
      <c r="AB58" s="150"/>
      <c r="CP58" s="11"/>
      <c r="CQ58" s="11"/>
      <c r="CR58" s="21"/>
      <c r="CS58" s="11"/>
    </row>
    <row r="59" spans="1:99" s="1" customFormat="1" ht="18" customHeight="1" thickBot="1" x14ac:dyDescent="0.3">
      <c r="C59" s="83"/>
      <c r="D59" s="107" t="str">
        <f>IF(SUM(U17:U20)=12,T17,INDEX(Translation,MATCH("Group C Winner",TransRef,0),MATCH(Setup!C5,LanguageRef,0)))</f>
        <v>Group C Winner</v>
      </c>
      <c r="E59" s="99"/>
      <c r="F59" s="100"/>
      <c r="G59" s="167"/>
      <c r="H59" s="228" t="s">
        <v>598</v>
      </c>
      <c r="I59" s="228"/>
      <c r="J59" s="228"/>
      <c r="K59" s="6"/>
      <c r="L59" s="6"/>
      <c r="M59" s="6"/>
      <c r="N59" s="6"/>
      <c r="O59" s="6"/>
      <c r="P59" s="6"/>
      <c r="Q59" s="6"/>
      <c r="R59" s="6"/>
      <c r="S59" s="6"/>
      <c r="T59" s="238"/>
      <c r="U59" s="238"/>
      <c r="V59" s="238"/>
      <c r="W59" s="238"/>
      <c r="X59" s="238"/>
      <c r="Y59" s="238"/>
      <c r="Z59" s="238"/>
      <c r="AA59" s="7"/>
      <c r="AB59" s="150"/>
      <c r="CP59" s="11"/>
      <c r="CQ59" s="11"/>
      <c r="CR59" s="21" t="s">
        <v>93</v>
      </c>
      <c r="CS59" s="11"/>
    </row>
    <row r="60" spans="1:99" s="1" customFormat="1" ht="18" customHeight="1" thickTop="1" x14ac:dyDescent="0.25">
      <c r="C60" s="83"/>
      <c r="D60" s="108" t="str">
        <f>IF(SUM(U23:U26)=12,T24,INDEX(Translation,MATCH("Group D Runner Up",TransRef,0),MATCH(Setup!C5,LanguageRef,0)))</f>
        <v>Group D Runner Up</v>
      </c>
      <c r="E60" s="102"/>
      <c r="F60" s="103"/>
      <c r="G60" s="104"/>
      <c r="H60" s="24"/>
      <c r="I60" s="103"/>
      <c r="J60" s="103"/>
      <c r="K60" s="178">
        <v>61</v>
      </c>
      <c r="L60" s="234">
        <f>Calculator!EA67</f>
        <v>45846.625</v>
      </c>
      <c r="M60" s="234"/>
      <c r="N60" s="182"/>
      <c r="O60" s="182"/>
      <c r="P60" s="6"/>
      <c r="Q60" s="6"/>
      <c r="R60" s="6"/>
      <c r="S60" s="6"/>
      <c r="T60" s="238"/>
      <c r="U60" s="238"/>
      <c r="V60" s="238"/>
      <c r="W60" s="238"/>
      <c r="X60" s="238"/>
      <c r="Y60" s="238"/>
      <c r="Z60" s="238"/>
      <c r="AA60" s="7"/>
      <c r="AB60" s="150"/>
      <c r="CP60" s="11"/>
      <c r="CQ60" s="11"/>
      <c r="CR60" s="21"/>
      <c r="CS60" s="11"/>
    </row>
    <row r="61" spans="1:99" ht="18" customHeight="1" thickBot="1" x14ac:dyDescent="0.3">
      <c r="C61" s="167"/>
      <c r="D61" s="228" t="s">
        <v>602</v>
      </c>
      <c r="E61" s="228"/>
      <c r="F61" s="228"/>
      <c r="G61" s="94"/>
      <c r="H61" s="96"/>
      <c r="I61" s="96"/>
      <c r="J61" s="96"/>
      <c r="K61" s="103"/>
      <c r="L61" s="239" t="str">
        <f>IF(AND(I57&lt;&gt;"",I58&lt;&gt;""),IF((I57+J57)&gt;(I58+J58),H57,IF((I57+J57)&lt;(I58+J58),H58,INDEX(Translation,MATCH("Match 57 Winner",TransRef,0),MATCH(Setup!C5,LanguageRef,0)))),INDEX(Translation,MATCH("Match 57 Winner",TransRef,0),MATCH(Setup!C5,LanguageRef,0)))</f>
        <v>Match 57 Winner</v>
      </c>
      <c r="M61" s="239"/>
      <c r="N61" s="99"/>
      <c r="O61" s="100"/>
      <c r="P61" s="6"/>
      <c r="Q61" s="106"/>
      <c r="R61" s="95"/>
      <c r="S61" s="95"/>
      <c r="T61" s="238"/>
      <c r="U61" s="238"/>
      <c r="V61" s="238"/>
      <c r="W61" s="238"/>
      <c r="X61" s="238"/>
      <c r="Y61" s="238"/>
      <c r="Z61" s="238"/>
      <c r="AA61" s="7"/>
      <c r="CP61" s="21"/>
      <c r="CQ61" s="21"/>
      <c r="CT61" s="25"/>
      <c r="CU61" s="25"/>
    </row>
    <row r="62" spans="1:99" ht="18" customHeight="1" thickTop="1" x14ac:dyDescent="0.25">
      <c r="C62" s="178">
        <v>53</v>
      </c>
      <c r="D62" s="179">
        <f>Calculator!EA59</f>
        <v>45838.625</v>
      </c>
      <c r="E62" s="181"/>
      <c r="F62" s="181"/>
      <c r="G62" s="94"/>
      <c r="H62" s="96"/>
      <c r="I62" s="96"/>
      <c r="J62" s="96"/>
      <c r="K62" s="96"/>
      <c r="L62" s="235" t="str">
        <f>IF(AND(I65&lt;&gt;"",I66&lt;&gt;""),IF((I65+J65)&gt;(I66+J66),H65,IF((I65+J65)&lt;(I66+J66),H66,INDEX(Translation,MATCH("Match 58 Winner",TransRef,0),MATCH(Setup!C5,LanguageRef,0)))),INDEX(Translation,MATCH("Match 58 Winner",TransRef,0),MATCH(Setup!C5,LanguageRef,0)))</f>
        <v>Match 58 Winner</v>
      </c>
      <c r="M62" s="235"/>
      <c r="N62" s="102"/>
      <c r="O62" s="103"/>
      <c r="P62" s="6"/>
      <c r="Q62" s="106"/>
      <c r="R62" s="95"/>
      <c r="S62" s="95"/>
      <c r="T62" s="236" t="str">
        <f>INDEX(Translation,MATCH("Second Place",TransRef,0),MATCH(Setup!C5,LanguageRef,0))</f>
        <v>Second place</v>
      </c>
      <c r="U62" s="236"/>
      <c r="V62" s="236"/>
      <c r="W62" s="236"/>
      <c r="X62" s="236"/>
      <c r="Y62" s="236"/>
      <c r="Z62" s="236"/>
      <c r="AA62" s="7"/>
      <c r="CP62" s="21"/>
      <c r="CQ62" s="21"/>
      <c r="CT62" s="25"/>
      <c r="CU62" s="25"/>
    </row>
    <row r="63" spans="1:99" ht="18" customHeight="1" thickBot="1" x14ac:dyDescent="0.3">
      <c r="A63" s="1"/>
      <c r="C63" s="22"/>
      <c r="D63" s="109" t="str">
        <f>IF(SUM(U29:U32)=12,T29,INDEX(Translation,MATCH("Group E Winner",TransRef,0),MATCH(Setup!C5,LanguageRef,0)))</f>
        <v>Group E Winner</v>
      </c>
      <c r="E63" s="99"/>
      <c r="F63" s="100"/>
      <c r="G63" s="94"/>
      <c r="H63" s="96"/>
      <c r="I63" s="96"/>
      <c r="J63" s="96"/>
      <c r="K63" s="168"/>
      <c r="L63" s="228" t="s">
        <v>595</v>
      </c>
      <c r="M63" s="228"/>
      <c r="N63" s="228"/>
      <c r="O63" s="228"/>
      <c r="P63" s="95"/>
      <c r="Q63" s="106"/>
      <c r="R63" s="95"/>
      <c r="S63" s="95"/>
      <c r="T63" s="236"/>
      <c r="U63" s="236"/>
      <c r="V63" s="236"/>
      <c r="W63" s="236"/>
      <c r="X63" s="236"/>
      <c r="Y63" s="236"/>
      <c r="Z63" s="236"/>
      <c r="AA63" s="7"/>
      <c r="AB63" s="150"/>
      <c r="CP63" s="21"/>
      <c r="CQ63" s="21"/>
      <c r="CT63" s="25"/>
      <c r="CU63" s="25"/>
    </row>
    <row r="64" spans="1:99" ht="18" customHeight="1" thickTop="1" x14ac:dyDescent="0.25">
      <c r="A64" s="1"/>
      <c r="C64" s="95"/>
      <c r="D64" s="110" t="str">
        <f>IF(SUM(U35:U38)=12,T36,INDEX(Translation,MATCH("Group F Runner Up",TransRef,0),MATCH(Setup!C5,LanguageRef,0)))</f>
        <v>Group F Runner Up</v>
      </c>
      <c r="E64" s="102"/>
      <c r="F64" s="103"/>
      <c r="G64" s="178">
        <v>57</v>
      </c>
      <c r="H64" s="234">
        <f>Calculator!EA63</f>
        <v>45842.625</v>
      </c>
      <c r="I64" s="234"/>
      <c r="J64" s="234"/>
      <c r="K64" s="95"/>
      <c r="L64" s="97"/>
      <c r="M64" s="97"/>
      <c r="N64" s="6"/>
      <c r="O64" s="95"/>
      <c r="P64" s="111"/>
      <c r="Q64" s="106"/>
      <c r="R64" s="95"/>
      <c r="S64" s="95"/>
      <c r="T64" s="233" t="str">
        <f>UPPER(IF(AND(R69&lt;&gt;"",R70&lt;&gt;""),IF((R69+S69)&lt;(R70+S70),Q69,IF((R69+S69)&gt;(R70+S70),Q70,INDEX(Translation,MATCH("Club World Cup 2025 Runner Up",TransRef,0),MATCH(Setup!C5,LanguageRef,0)))),INDEX(Translation,MATCH("Club World Cup 2025 Runner Up",TransRef,0),MATCH(Setup!C5,LanguageRef,0))))</f>
        <v>CLUB WORLD CUP 2025 RUNNER UP</v>
      </c>
      <c r="U64" s="233"/>
      <c r="V64" s="233"/>
      <c r="W64" s="233"/>
      <c r="X64" s="233"/>
      <c r="Y64" s="233"/>
      <c r="Z64" s="233"/>
      <c r="AA64" s="7"/>
      <c r="AB64" s="150"/>
      <c r="CP64" s="21"/>
      <c r="CQ64" s="21"/>
      <c r="CT64" s="25"/>
      <c r="CU64" s="25"/>
    </row>
    <row r="65" spans="1:99" ht="18" customHeight="1" thickBot="1" x14ac:dyDescent="0.3">
      <c r="C65" s="167"/>
      <c r="D65" s="228" t="s">
        <v>602</v>
      </c>
      <c r="E65" s="228"/>
      <c r="F65" s="228"/>
      <c r="G65" s="103"/>
      <c r="H65" s="105" t="str">
        <f>IF(AND(E63&lt;&gt;"",E64&lt;&gt;""),IF((E63+F63)&gt;(E64+F64),D63,IF((E63+F63)&lt;(E64+F64),D64,INDEX(Translation,MATCH("Match 53 Winner",TransRef,0),MATCH(Setup!C5,LanguageRef,0)))),INDEX(Translation,MATCH("Match 53 Winner",TransRef,0),MATCH(Setup!C5,LanguageRef,0)))</f>
        <v>Match 53 Winner</v>
      </c>
      <c r="I65" s="99"/>
      <c r="J65" s="100"/>
      <c r="K65" s="95"/>
      <c r="L65" s="97"/>
      <c r="M65" s="97"/>
      <c r="N65" s="6"/>
      <c r="O65" s="95"/>
      <c r="P65" s="111"/>
      <c r="Q65" s="106"/>
      <c r="R65" s="95"/>
      <c r="S65" s="95"/>
      <c r="T65" s="233"/>
      <c r="U65" s="233"/>
      <c r="V65" s="233"/>
      <c r="W65" s="233"/>
      <c r="X65" s="233"/>
      <c r="Y65" s="233"/>
      <c r="Z65" s="233"/>
      <c r="AA65" s="7"/>
      <c r="CP65" s="21"/>
      <c r="CQ65" s="21"/>
      <c r="CT65" s="25"/>
      <c r="CU65" s="25"/>
    </row>
    <row r="66" spans="1:99" ht="18" customHeight="1" thickTop="1" thickBot="1" x14ac:dyDescent="0.3">
      <c r="C66" s="178">
        <v>54</v>
      </c>
      <c r="D66" s="179">
        <f>Calculator!EA60</f>
        <v>45838.875</v>
      </c>
      <c r="E66" s="181"/>
      <c r="F66" s="181"/>
      <c r="G66" s="95"/>
      <c r="H66" s="24" t="str">
        <f>IF(AND(E67&lt;&gt;"",E68&lt;&gt;""),IF((E67+F67)&gt;(E68+F68),D67,IF((E67+F67)&lt;(E68+F68),D68,INDEX(Translation,MATCH("Match 54 Winner",TransRef,0),MATCH(Setup!C5,LanguageRef,0)))),INDEX(Translation,MATCH("Match 54 Winner",TransRef,0),MATCH(Setup!C5,LanguageRef,0)))</f>
        <v>Match 54 Winner</v>
      </c>
      <c r="I66" s="102"/>
      <c r="J66" s="103"/>
      <c r="K66" s="95"/>
      <c r="L66" s="97"/>
      <c r="M66" s="97"/>
      <c r="N66" s="6"/>
      <c r="O66" s="95"/>
      <c r="P66" s="111"/>
      <c r="Q66" s="106"/>
      <c r="R66" s="95"/>
      <c r="S66" s="95"/>
      <c r="U66" s="25"/>
      <c r="AA66" s="7"/>
      <c r="CP66" s="21"/>
      <c r="CQ66" s="21"/>
      <c r="CT66" s="25"/>
      <c r="CU66" s="25"/>
    </row>
    <row r="67" spans="1:99" ht="18" customHeight="1" thickTop="1" thickBot="1" x14ac:dyDescent="0.3">
      <c r="A67" s="1"/>
      <c r="C67" s="22"/>
      <c r="D67" s="112" t="str">
        <f>IF(SUM(U41:U44)=12,T41,INDEX(Translation,MATCH("Group G Winner",TransRef,0),MATCH(Setup!C5,LanguageRef,0)))</f>
        <v>Group G Winner</v>
      </c>
      <c r="E67" s="99"/>
      <c r="F67" s="100"/>
      <c r="G67" s="167"/>
      <c r="H67" s="228" t="s">
        <v>603</v>
      </c>
      <c r="I67" s="228"/>
      <c r="J67" s="228"/>
      <c r="K67" s="95"/>
      <c r="L67" s="97"/>
      <c r="M67" s="97"/>
      <c r="N67" s="6"/>
      <c r="O67" s="95"/>
      <c r="P67" s="153" t="str">
        <f>INDEX(Translation,MATCH("Final",TransRef,0),MATCH(Setup!C5,LanguageRef,0))</f>
        <v>Final</v>
      </c>
      <c r="Q67" s="154"/>
      <c r="R67" s="155"/>
      <c r="S67" s="156"/>
      <c r="U67" s="25"/>
      <c r="AA67" s="7"/>
      <c r="AB67" s="150"/>
      <c r="CP67" s="21"/>
      <c r="CQ67" s="21"/>
      <c r="CT67" s="25"/>
      <c r="CU67" s="25"/>
    </row>
    <row r="68" spans="1:99" ht="18" customHeight="1" thickTop="1" x14ac:dyDescent="0.25">
      <c r="A68" s="1"/>
      <c r="C68" s="95"/>
      <c r="D68" s="113" t="str">
        <f>IF(SUM(U47:U50)=12,T48,INDEX(Translation,MATCH("Group H Runner Up",TransRef,0),MATCH(Setup!C5,LanguageRef,0)))</f>
        <v>Group H Runner Up</v>
      </c>
      <c r="E68" s="102"/>
      <c r="F68" s="103"/>
      <c r="G68" s="103"/>
      <c r="H68" s="24"/>
      <c r="I68" s="95"/>
      <c r="J68" s="95"/>
      <c r="K68" s="95"/>
      <c r="L68" s="97"/>
      <c r="M68" s="97"/>
      <c r="N68" s="6"/>
      <c r="O68" s="95"/>
      <c r="P68" s="178">
        <v>63</v>
      </c>
      <c r="Q68" s="234">
        <f>Calculator!EA70</f>
        <v>45851.625</v>
      </c>
      <c r="R68" s="234"/>
      <c r="S68" s="182"/>
      <c r="U68" s="25"/>
      <c r="AA68" s="7"/>
      <c r="AB68" s="150"/>
      <c r="CP68" s="21"/>
      <c r="CQ68" s="21"/>
      <c r="CT68" s="25"/>
      <c r="CU68" s="25"/>
    </row>
    <row r="69" spans="1:99" ht="18" customHeight="1" thickBot="1" x14ac:dyDescent="0.3">
      <c r="C69" s="167"/>
      <c r="D69" s="228" t="s">
        <v>603</v>
      </c>
      <c r="E69" s="228"/>
      <c r="F69" s="228"/>
      <c r="G69" s="94"/>
      <c r="H69" s="96"/>
      <c r="I69" s="96"/>
      <c r="J69" s="96"/>
      <c r="K69" s="96"/>
      <c r="L69" s="97"/>
      <c r="M69" s="97"/>
      <c r="N69" s="6"/>
      <c r="O69" s="95"/>
      <c r="P69" s="95"/>
      <c r="Q69" s="105" t="str">
        <f>IF(AND(N61&lt;&gt;"",N62&lt;&gt;""),IF((N61+O61)&gt;(N62+O62),L61,IF((N61+O61)&lt;(N62+O62),L62,INDEX(Translation,MATCH("Match 61 Winner",TransRef,0),MATCH(Setup!C5,LanguageRef,0)))),INDEX(Translation,MATCH("Match 61 Winner",TransRef,0),MATCH(Setup!C5,LanguageRef,0)))</f>
        <v>Match 61 Winner</v>
      </c>
      <c r="R69" s="99"/>
      <c r="S69" s="100"/>
      <c r="U69" s="25"/>
      <c r="AA69" s="7"/>
      <c r="CP69" s="21"/>
      <c r="CQ69" s="21"/>
      <c r="CT69" s="25"/>
      <c r="CU69" s="25"/>
    </row>
    <row r="70" spans="1:99" ht="18" customHeight="1" thickTop="1" x14ac:dyDescent="0.25">
      <c r="C70" s="178">
        <v>52</v>
      </c>
      <c r="D70" s="179">
        <f>Calculator!EA58</f>
        <v>45837.666666666664</v>
      </c>
      <c r="E70" s="181"/>
      <c r="F70" s="181"/>
      <c r="G70" s="94"/>
      <c r="H70" s="96"/>
      <c r="I70" s="96"/>
      <c r="J70" s="96"/>
      <c r="K70" s="96"/>
      <c r="L70" s="97"/>
      <c r="M70" s="97"/>
      <c r="N70" s="6"/>
      <c r="O70" s="95"/>
      <c r="P70" s="95"/>
      <c r="Q70" s="24" t="str">
        <f>IF(AND(N77&lt;&gt;"",N78&lt;&gt;""),IF((N77+O77)&gt;(N78+O78),L77,IF((N77+O77)&lt;(N78+O78),L78,INDEX(Translation,MATCH("Match 62 Winner",TransRef,0),MATCH(Setup!C5,LanguageRef,0)))),INDEX(Translation,MATCH("Match 62 Winner",TransRef,0),MATCH(Setup!C5,LanguageRef,0)))</f>
        <v>Match 62 Winner</v>
      </c>
      <c r="R70" s="102"/>
      <c r="S70" s="103"/>
      <c r="U70" s="25"/>
      <c r="AA70" s="7"/>
      <c r="CP70" s="21"/>
      <c r="CQ70" s="21"/>
      <c r="CT70" s="25"/>
      <c r="CU70" s="25"/>
    </row>
    <row r="71" spans="1:99" ht="18" customHeight="1" thickBot="1" x14ac:dyDescent="0.3">
      <c r="A71" s="1"/>
      <c r="C71" s="22"/>
      <c r="D71" s="114" t="str">
        <f>IF(SUM(U23:U26)=12,T23,INDEX(Translation,MATCH("Group D Winner",TransRef,0),MATCH(Setup!C5,LanguageRef,0)))</f>
        <v>Group D Winner</v>
      </c>
      <c r="E71" s="99"/>
      <c r="F71" s="100"/>
      <c r="G71" s="94"/>
      <c r="H71" s="96"/>
      <c r="I71" s="96"/>
      <c r="J71" s="96"/>
      <c r="K71" s="96"/>
      <c r="L71" s="97"/>
      <c r="M71" s="97"/>
      <c r="N71" s="6"/>
      <c r="O71" s="95"/>
      <c r="P71" s="168"/>
      <c r="Q71" s="228" t="s">
        <v>595</v>
      </c>
      <c r="R71" s="228"/>
      <c r="S71" s="228"/>
      <c r="U71" s="25"/>
      <c r="AA71" s="7"/>
      <c r="AB71" s="150"/>
      <c r="CP71" s="21"/>
      <c r="CQ71" s="21"/>
      <c r="CT71" s="25"/>
      <c r="CU71" s="25"/>
    </row>
    <row r="72" spans="1:99" ht="18" customHeight="1" thickTop="1" x14ac:dyDescent="0.25">
      <c r="A72" s="1"/>
      <c r="C72" s="95"/>
      <c r="D72" s="115" t="str">
        <f>IF(SUM(U17:U20)=12,T18,INDEX(Translation,MATCH("Group C Runner Up",TransRef,0),MATCH(Setup!C5,LanguageRef,0)))</f>
        <v>Group C Runner Up</v>
      </c>
      <c r="E72" s="102"/>
      <c r="F72" s="103"/>
      <c r="G72" s="178">
        <v>59</v>
      </c>
      <c r="H72" s="234">
        <f>Calculator!EA65</f>
        <v>45843.5</v>
      </c>
      <c r="I72" s="234"/>
      <c r="J72" s="234"/>
      <c r="K72" s="96"/>
      <c r="L72" s="97"/>
      <c r="M72" s="97"/>
      <c r="N72" s="6"/>
      <c r="O72" s="95"/>
      <c r="P72" s="111"/>
      <c r="Q72" s="95"/>
      <c r="R72" s="106"/>
      <c r="S72" s="116"/>
      <c r="U72" s="25"/>
      <c r="AA72" s="7"/>
      <c r="AB72" s="150"/>
      <c r="CP72" s="21"/>
      <c r="CQ72" s="21"/>
      <c r="CT72" s="25"/>
      <c r="CU72" s="25"/>
    </row>
    <row r="73" spans="1:99" ht="18" customHeight="1" thickBot="1" x14ac:dyDescent="0.3">
      <c r="C73" s="167"/>
      <c r="D73" s="228" t="s">
        <v>592</v>
      </c>
      <c r="E73" s="228"/>
      <c r="F73" s="228"/>
      <c r="G73" s="103"/>
      <c r="H73" s="105" t="str">
        <f>IF(AND(E71&lt;&gt;"",E72&lt;&gt;""),IF((E71+F71)&gt;(E72+F72),D71,IF((E71+F71)&lt;(E72+F72),D72,INDEX(Translation,MATCH("Match 52 Winner",TransRef,0),MATCH(Setup!C5,LanguageRef,0)))),INDEX(Translation,MATCH("Match 52 Winner",TransRef,0),MATCH(Setup!C5,LanguageRef,0)))</f>
        <v>Match 52 Winner</v>
      </c>
      <c r="I73" s="99"/>
      <c r="J73" s="100"/>
      <c r="K73" s="96"/>
      <c r="L73" s="97"/>
      <c r="M73" s="97"/>
      <c r="N73" s="6"/>
      <c r="O73" s="95"/>
      <c r="P73" s="111"/>
      <c r="Q73" s="95"/>
      <c r="R73" s="106"/>
      <c r="S73" s="116"/>
      <c r="U73" s="25"/>
      <c r="AA73" s="7"/>
      <c r="CP73" s="21"/>
      <c r="CQ73" s="21"/>
      <c r="CT73" s="25"/>
      <c r="CU73" s="25"/>
    </row>
    <row r="74" spans="1:99" ht="18" customHeight="1" thickTop="1" x14ac:dyDescent="0.25">
      <c r="C74" s="178">
        <v>51</v>
      </c>
      <c r="D74" s="179">
        <f>Calculator!EA57</f>
        <v>45837.5</v>
      </c>
      <c r="E74" s="181"/>
      <c r="F74" s="181"/>
      <c r="G74" s="95"/>
      <c r="H74" s="24" t="str">
        <f>IF(AND(E75&lt;&gt;"",E76&lt;&gt;""),IF((E75+F75)&gt;(E76+F76),D75,IF((E75+F75)&lt;(E76+F76),D76,INDEX(Translation,MATCH("Match 51 Winner",TransRef,0),MATCH(Setup!C5,LanguageRef,0)))),INDEX(Translation,MATCH("Match 51 Winner",TransRef,0),MATCH(Setup!C5,LanguageRef,0)))</f>
        <v>Match 51 Winner</v>
      </c>
      <c r="I74" s="102"/>
      <c r="J74" s="103"/>
      <c r="K74" s="96"/>
      <c r="L74" s="97"/>
      <c r="M74" s="97"/>
      <c r="N74" s="6"/>
      <c r="O74" s="95"/>
      <c r="P74" s="111"/>
      <c r="Q74" s="95"/>
      <c r="R74" s="106"/>
      <c r="S74" s="116"/>
      <c r="U74" s="25"/>
      <c r="AA74" s="7"/>
      <c r="CP74" s="21"/>
      <c r="CQ74" s="21"/>
      <c r="CT74" s="25"/>
      <c r="CU74" s="25"/>
    </row>
    <row r="75" spans="1:99" ht="18" customHeight="1" thickBot="1" x14ac:dyDescent="0.3">
      <c r="A75" s="1"/>
      <c r="C75" s="22"/>
      <c r="D75" s="117" t="str">
        <f>IF(SUM(U11:U14)=12,T11,INDEX(Translation,MATCH("Group B Winner",TransRef,0),MATCH(Setup!C5,LanguageRef,0)))</f>
        <v>Group B Winner</v>
      </c>
      <c r="E75" s="99"/>
      <c r="F75" s="100"/>
      <c r="G75" s="167"/>
      <c r="H75" s="228" t="s">
        <v>597</v>
      </c>
      <c r="I75" s="228"/>
      <c r="J75" s="228"/>
      <c r="K75" s="96"/>
      <c r="L75" s="97"/>
      <c r="M75" s="97"/>
      <c r="N75" s="95"/>
      <c r="O75" s="95"/>
      <c r="P75" s="111"/>
      <c r="Q75" s="95"/>
      <c r="R75" s="106"/>
      <c r="S75" s="116"/>
      <c r="U75" s="25"/>
      <c r="AA75" s="7"/>
      <c r="AB75" s="150"/>
      <c r="CP75" s="21"/>
      <c r="CQ75" s="21"/>
      <c r="CT75" s="25"/>
      <c r="CU75" s="25"/>
    </row>
    <row r="76" spans="1:99" ht="18" customHeight="1" thickTop="1" x14ac:dyDescent="0.25">
      <c r="A76" s="1"/>
      <c r="C76" s="95"/>
      <c r="D76" s="118" t="str">
        <f>IF(SUM(U5:U8)=12,T6,INDEX(Translation,MATCH("Group A Runner Up",TransRef,0),MATCH(Setup!C5,LanguageRef,0)))</f>
        <v>Group A Runner Up</v>
      </c>
      <c r="E76" s="102"/>
      <c r="F76" s="103"/>
      <c r="G76" s="103"/>
      <c r="H76" s="24"/>
      <c r="I76" s="95"/>
      <c r="J76" s="95"/>
      <c r="K76" s="178">
        <v>62</v>
      </c>
      <c r="L76" s="234">
        <f>Calculator!EA68</f>
        <v>45847.625</v>
      </c>
      <c r="M76" s="234"/>
      <c r="N76" s="182"/>
      <c r="O76" s="182"/>
      <c r="P76" s="95"/>
      <c r="Q76" s="95"/>
      <c r="R76" s="106"/>
      <c r="S76" s="116"/>
      <c r="U76" s="25"/>
      <c r="AA76" s="7"/>
      <c r="AB76" s="150"/>
      <c r="CP76" s="21"/>
      <c r="CQ76" s="21"/>
      <c r="CT76" s="25"/>
      <c r="CU76" s="25"/>
    </row>
    <row r="77" spans="1:99" ht="18" customHeight="1" thickBot="1" x14ac:dyDescent="0.3">
      <c r="C77" s="167"/>
      <c r="D77" s="228" t="s">
        <v>597</v>
      </c>
      <c r="E77" s="228"/>
      <c r="F77" s="228"/>
      <c r="G77" s="94"/>
      <c r="H77" s="96"/>
      <c r="I77" s="96"/>
      <c r="J77" s="96"/>
      <c r="K77" s="95"/>
      <c r="L77" s="239" t="str">
        <f>IF(AND(I74&lt;&gt;"",I73&lt;&gt;""),IF((I74+J74)&gt;(I73+J73),H74,IF((I74+J74)&lt;(I73+J73),H73,INDEX(Translation,MATCH("Match 59 Winner",TransRef,0),MATCH(Setup!C5,LanguageRef,0)))),INDEX(Translation,MATCH("Match 59 Winner",TransRef,0),MATCH(Setup!C5,LanguageRef,0)))</f>
        <v>Match 59 Winner</v>
      </c>
      <c r="M77" s="239"/>
      <c r="N77" s="99"/>
      <c r="O77" s="100"/>
      <c r="P77" s="95"/>
      <c r="Q77" s="95"/>
      <c r="R77" s="106"/>
      <c r="S77" s="116"/>
      <c r="U77" s="25"/>
      <c r="AA77" s="7"/>
      <c r="CP77" s="21"/>
      <c r="CQ77" s="21"/>
      <c r="CT77" s="25"/>
      <c r="CU77" s="25"/>
    </row>
    <row r="78" spans="1:99" ht="18" customHeight="1" thickTop="1" x14ac:dyDescent="0.25">
      <c r="C78" s="178">
        <v>56</v>
      </c>
      <c r="D78" s="179">
        <f>Calculator!EA62</f>
        <v>45839.875</v>
      </c>
      <c r="E78" s="181"/>
      <c r="F78" s="181"/>
      <c r="G78" s="94"/>
      <c r="H78" s="96"/>
      <c r="I78" s="96"/>
      <c r="J78" s="96"/>
      <c r="K78" s="96"/>
      <c r="L78" s="235" t="str">
        <f>IF(AND(I81&lt;&gt;"",I82&lt;&gt;""),IF((I81+J81)&gt;(I82+J82),H81,IF((I81+J81)&lt;(I82+J82),H82,INDEX(Translation,MATCH("Match 60 Winner",TransRef,0),MATCH(Setup!C5,LanguageRef,0)))),INDEX(Translation,MATCH("Match 60 Winner",TransRef,0),MATCH(Setup!C5,LanguageRef,0)))</f>
        <v>Match 60 Winner</v>
      </c>
      <c r="M78" s="235"/>
      <c r="N78" s="102"/>
      <c r="O78" s="103"/>
      <c r="P78" s="95"/>
      <c r="Q78" s="95"/>
      <c r="R78" s="106"/>
      <c r="S78" s="116"/>
      <c r="U78" s="25"/>
      <c r="AA78" s="7"/>
      <c r="CP78" s="21"/>
      <c r="CQ78" s="21"/>
      <c r="CT78" s="25"/>
      <c r="CU78" s="25"/>
    </row>
    <row r="79" spans="1:99" ht="18" customHeight="1" thickBot="1" x14ac:dyDescent="0.3">
      <c r="A79" s="1"/>
      <c r="C79" s="22"/>
      <c r="D79" s="119" t="str">
        <f>IF(SUM(U35:U38)=12,T35,INDEX(Translation,MATCH("Group F Winner",TransRef,0),MATCH(Setup!C5,LanguageRef,0)))</f>
        <v>Group F Winner</v>
      </c>
      <c r="E79" s="99"/>
      <c r="F79" s="100"/>
      <c r="G79" s="94"/>
      <c r="H79" s="96"/>
      <c r="I79" s="96"/>
      <c r="J79" s="96"/>
      <c r="K79" s="168"/>
      <c r="L79" s="228" t="s">
        <v>595</v>
      </c>
      <c r="M79" s="228"/>
      <c r="N79" s="228"/>
      <c r="O79" s="228"/>
      <c r="P79" s="95"/>
      <c r="Q79" s="95"/>
      <c r="R79" s="106"/>
      <c r="S79" s="116"/>
      <c r="U79" s="25"/>
      <c r="AA79" s="7"/>
      <c r="AB79" s="150"/>
      <c r="CP79" s="21"/>
      <c r="CQ79" s="21"/>
      <c r="CT79" s="25"/>
      <c r="CU79" s="25"/>
    </row>
    <row r="80" spans="1:99" ht="18" customHeight="1" thickTop="1" x14ac:dyDescent="0.25">
      <c r="A80" s="1"/>
      <c r="C80" s="95"/>
      <c r="D80" s="120" t="str">
        <f>IF(SUM(U29:U32)=12,T30,INDEX(Translation,MATCH("Group E Runner Up",TransRef,0),MATCH(Setup!C5,LanguageRef,0)))</f>
        <v>Group E Runner Up</v>
      </c>
      <c r="E80" s="102"/>
      <c r="F80" s="103"/>
      <c r="G80" s="178">
        <v>60</v>
      </c>
      <c r="H80" s="234">
        <f>Calculator!EA66</f>
        <v>45843.666666666664</v>
      </c>
      <c r="I80" s="234"/>
      <c r="J80" s="234"/>
      <c r="K80" s="95"/>
      <c r="L80" s="121"/>
      <c r="M80" s="121"/>
      <c r="N80" s="6"/>
      <c r="O80" s="95"/>
      <c r="P80" s="95"/>
      <c r="Q80" s="95"/>
      <c r="R80" s="106"/>
      <c r="S80" s="116"/>
      <c r="U80" s="25"/>
      <c r="AA80" s="7"/>
      <c r="AB80" s="150"/>
      <c r="CP80" s="21"/>
      <c r="CQ80" s="21"/>
      <c r="CT80" s="25"/>
      <c r="CU80" s="25"/>
    </row>
    <row r="81" spans="1:99" ht="18" customHeight="1" thickBot="1" x14ac:dyDescent="0.3">
      <c r="C81" s="167"/>
      <c r="D81" s="228" t="s">
        <v>597</v>
      </c>
      <c r="E81" s="228"/>
      <c r="F81" s="228"/>
      <c r="G81" s="103"/>
      <c r="H81" s="105" t="str">
        <f>IF(AND(E79&lt;&gt;"",E80&lt;&gt;""),IF((E79+F79)&gt;(E80+F80),D79,IF((E79+F79)&lt;(E80+F80),D80,INDEX(Translation,MATCH("Match 55 Winner",TransRef,0),MATCH(Setup!C5,LanguageRef,0)))),INDEX(Translation,MATCH("Match 55 Winner",TransRef,0),MATCH(Setup!C5,LanguageRef,0)))</f>
        <v>Match 55 Winner</v>
      </c>
      <c r="I81" s="99"/>
      <c r="J81" s="100"/>
      <c r="K81" s="95"/>
      <c r="L81" s="97"/>
      <c r="M81" s="97"/>
      <c r="N81" s="6"/>
      <c r="O81" s="95"/>
      <c r="P81" s="95"/>
      <c r="Q81" s="95"/>
      <c r="R81" s="106"/>
      <c r="S81" s="116"/>
      <c r="U81" s="25"/>
      <c r="AA81" s="7"/>
      <c r="CP81" s="21"/>
      <c r="CQ81" s="21"/>
      <c r="CT81" s="25"/>
      <c r="CU81" s="25"/>
    </row>
    <row r="82" spans="1:99" ht="18" customHeight="1" thickTop="1" x14ac:dyDescent="0.25">
      <c r="C82" s="178">
        <v>55</v>
      </c>
      <c r="D82" s="179">
        <f>Calculator!EA61</f>
        <v>45839.625</v>
      </c>
      <c r="E82" s="181"/>
      <c r="F82" s="181"/>
      <c r="G82" s="94"/>
      <c r="H82" s="24" t="str">
        <f>IF(AND(E83&lt;&gt;"",E84&lt;&gt;""),IF((E83+F83)&gt;(E84+F84),D83,IF((E83+F83)&lt;(E84+F84),D84,INDEX(Translation,MATCH("Match 56 Winner",TransRef,0),MATCH(Setup!C5,LanguageRef,0)))),INDEX(Translation,MATCH("Match 56 Winner",TransRef,0),MATCH(Setup!C5,LanguageRef,0)))</f>
        <v>Match 56 Winner</v>
      </c>
      <c r="I82" s="102"/>
      <c r="J82" s="103"/>
      <c r="K82" s="95"/>
      <c r="L82" s="97"/>
      <c r="M82" s="97"/>
      <c r="N82" s="6"/>
      <c r="O82" s="95"/>
      <c r="P82" s="95"/>
      <c r="Q82" s="95"/>
      <c r="R82" s="106"/>
      <c r="S82" s="116"/>
      <c r="U82" s="25"/>
      <c r="AA82" s="7"/>
      <c r="CP82" s="21"/>
      <c r="CQ82" s="21"/>
      <c r="CT82" s="25"/>
      <c r="CU82" s="25"/>
    </row>
    <row r="83" spans="1:99" ht="18" customHeight="1" x14ac:dyDescent="0.25">
      <c r="A83" s="1"/>
      <c r="C83" s="22"/>
      <c r="D83" s="122" t="str">
        <f>IF(SUM(U47:U50)=12,T47,INDEX(Translation,MATCH("Group H Winner",TransRef,0),MATCH(Setup!C5,LanguageRef,0)))</f>
        <v>Group H Winner</v>
      </c>
      <c r="E83" s="99"/>
      <c r="F83" s="100"/>
      <c r="G83" s="167"/>
      <c r="H83" s="228" t="s">
        <v>595</v>
      </c>
      <c r="I83" s="228"/>
      <c r="J83" s="228"/>
      <c r="K83" s="96"/>
      <c r="L83" s="97"/>
      <c r="M83" s="97"/>
      <c r="N83" s="6"/>
      <c r="O83" s="95"/>
      <c r="P83" s="95"/>
      <c r="Q83" s="95"/>
      <c r="R83" s="106"/>
      <c r="S83" s="116"/>
      <c r="U83" s="25"/>
      <c r="AA83" s="7"/>
      <c r="AB83" s="150"/>
      <c r="CP83" s="21"/>
      <c r="CQ83" s="21"/>
      <c r="CT83" s="25"/>
      <c r="CU83" s="25"/>
    </row>
    <row r="84" spans="1:99" ht="18" customHeight="1" x14ac:dyDescent="0.25">
      <c r="A84" s="1"/>
      <c r="C84" s="83"/>
      <c r="D84" s="123" t="str">
        <f>IF(SUM(U41:U44)=12,T42,INDEX(Translation,MATCH("Group G Runner Up",TransRef,0),MATCH(Setup!C5,LanguageRef,0)))</f>
        <v>Group G Runner Up</v>
      </c>
      <c r="E84" s="102"/>
      <c r="F84" s="103"/>
      <c r="G84" s="104"/>
      <c r="H84" s="24"/>
      <c r="I84" s="103"/>
      <c r="J84" s="103"/>
      <c r="K84" s="103"/>
      <c r="L84" s="121"/>
      <c r="M84" s="121"/>
      <c r="N84" s="6"/>
      <c r="O84" s="95"/>
      <c r="P84" s="95"/>
      <c r="Q84" s="106"/>
      <c r="R84" s="95"/>
      <c r="S84" s="95"/>
      <c r="U84" s="25"/>
      <c r="AA84" s="7"/>
      <c r="AB84" s="150"/>
      <c r="CP84" s="21"/>
      <c r="CQ84" s="21"/>
      <c r="CT84" s="25"/>
      <c r="CU84" s="25"/>
    </row>
    <row r="85" spans="1:99" ht="18" customHeight="1" x14ac:dyDescent="0.25">
      <c r="C85" s="167"/>
      <c r="D85" s="228" t="s">
        <v>592</v>
      </c>
      <c r="E85" s="228"/>
      <c r="F85" s="228"/>
      <c r="G85" s="94"/>
      <c r="H85" s="96"/>
      <c r="I85" s="96"/>
      <c r="J85" s="96"/>
      <c r="K85" s="96"/>
      <c r="L85" s="97"/>
      <c r="M85" s="97"/>
      <c r="N85" s="6"/>
      <c r="O85" s="95"/>
      <c r="P85" s="95"/>
      <c r="Q85" s="106"/>
      <c r="R85" s="95"/>
      <c r="S85" s="95"/>
      <c r="U85" s="25"/>
      <c r="AA85" s="7"/>
      <c r="CP85" s="21"/>
      <c r="CQ85" s="21"/>
      <c r="CT85" s="25"/>
      <c r="CU85" s="25"/>
    </row>
    <row r="86" spans="1:99" ht="14.45" customHeight="1" x14ac:dyDescent="0.25">
      <c r="B86" s="6" t="s">
        <v>653</v>
      </c>
      <c r="C86" s="1"/>
      <c r="D86" s="1"/>
      <c r="E86" s="1"/>
      <c r="F86" s="1"/>
      <c r="G86" s="1"/>
      <c r="H86" s="4"/>
      <c r="I86" s="4"/>
      <c r="J86" s="1"/>
      <c r="K86" s="1"/>
      <c r="L86" s="4"/>
      <c r="M86" s="5"/>
      <c r="N86" s="5"/>
      <c r="O86" s="5"/>
      <c r="P86" s="5"/>
      <c r="Q86" s="1"/>
      <c r="AA86" s="7"/>
      <c r="AB86" s="150"/>
    </row>
    <row r="87" spans="1:99" ht="14.45" customHeight="1" x14ac:dyDescent="0.25">
      <c r="AA87" s="7"/>
      <c r="AB87" s="150"/>
    </row>
    <row r="88" spans="1:99" x14ac:dyDescent="0.25">
      <c r="AA88" s="7"/>
      <c r="AB88" s="150"/>
    </row>
    <row r="89" spans="1:99" x14ac:dyDescent="0.25">
      <c r="J89" s="1"/>
      <c r="K89" s="1"/>
      <c r="L89" s="4"/>
      <c r="M89" s="5"/>
      <c r="N89" s="5"/>
      <c r="O89" s="5"/>
      <c r="P89" s="5"/>
      <c r="Q89" s="1"/>
      <c r="AA89" s="7"/>
      <c r="AB89" s="150"/>
    </row>
    <row r="90" spans="1:99" x14ac:dyDescent="0.25">
      <c r="J90" s="1"/>
      <c r="K90" s="1"/>
      <c r="L90" s="4"/>
      <c r="M90" s="5"/>
      <c r="N90" s="5"/>
      <c r="O90" s="5"/>
      <c r="P90" s="5"/>
      <c r="Q90" s="1"/>
      <c r="AA90" s="7"/>
      <c r="AB90" s="150"/>
    </row>
    <row r="91" spans="1:99" x14ac:dyDescent="0.25">
      <c r="J91" s="1"/>
      <c r="K91" s="1"/>
      <c r="L91" s="4"/>
      <c r="M91" s="5"/>
      <c r="N91" s="5"/>
      <c r="O91" s="5"/>
      <c r="P91" s="5"/>
      <c r="Q91" s="1"/>
      <c r="AA91" s="7"/>
      <c r="AB91" s="150"/>
    </row>
    <row r="92" spans="1:99" x14ac:dyDescent="0.25">
      <c r="J92" s="1"/>
      <c r="K92" s="1"/>
      <c r="L92" s="4"/>
      <c r="M92" s="5"/>
      <c r="N92" s="5"/>
      <c r="O92" s="5"/>
      <c r="P92" s="5"/>
      <c r="Q92" s="1"/>
      <c r="AA92" s="7"/>
      <c r="AB92" s="150"/>
    </row>
    <row r="93" spans="1:99" x14ac:dyDescent="0.25"/>
    <row r="94" spans="1:99" x14ac:dyDescent="0.25"/>
    <row r="95" spans="1:99" x14ac:dyDescent="0.25"/>
    <row r="96" spans="1:99" ht="15.6" customHeight="1" x14ac:dyDescent="0.25"/>
    <row r="97" spans="21:26" x14ac:dyDescent="0.25"/>
    <row r="98" spans="21:26" ht="28.7" customHeight="1" x14ac:dyDescent="0.25">
      <c r="U98" s="25"/>
      <c r="V98" s="25"/>
      <c r="W98" s="25"/>
      <c r="X98" s="25"/>
      <c r="Y98" s="25"/>
      <c r="Z98" s="25"/>
    </row>
    <row r="99" spans="21:26" ht="28.7" customHeight="1" x14ac:dyDescent="0.25">
      <c r="U99" s="25"/>
      <c r="V99" s="25"/>
      <c r="W99" s="25"/>
      <c r="X99" s="25"/>
      <c r="Y99" s="25"/>
      <c r="Z99" s="25"/>
    </row>
    <row r="100" spans="21:26" x14ac:dyDescent="0.25">
      <c r="U100" s="25"/>
      <c r="V100" s="25"/>
      <c r="W100" s="25"/>
      <c r="X100" s="25"/>
      <c r="Y100" s="25"/>
      <c r="Z100" s="25"/>
    </row>
    <row r="101" spans="21:26" ht="21" customHeight="1" x14ac:dyDescent="0.25">
      <c r="U101" s="25"/>
      <c r="V101" s="25"/>
      <c r="W101" s="25"/>
      <c r="X101" s="25"/>
      <c r="Y101" s="25"/>
      <c r="Z101" s="25"/>
    </row>
    <row r="102" spans="21:26" x14ac:dyDescent="0.25">
      <c r="U102" s="25"/>
      <c r="V102" s="25"/>
      <c r="W102" s="25"/>
      <c r="X102" s="25"/>
      <c r="Y102" s="25"/>
      <c r="Z102" s="25"/>
    </row>
    <row r="103" spans="21:26" x14ac:dyDescent="0.25">
      <c r="U103" s="25"/>
      <c r="V103" s="25"/>
      <c r="W103" s="25"/>
      <c r="X103" s="25"/>
      <c r="Y103" s="25"/>
      <c r="Z103" s="25"/>
    </row>
    <row r="104" spans="21:26" x14ac:dyDescent="0.25">
      <c r="U104" s="25"/>
      <c r="V104" s="25"/>
      <c r="W104" s="25"/>
      <c r="X104" s="25"/>
      <c r="Y104" s="25"/>
      <c r="Z104" s="25"/>
    </row>
    <row r="105" spans="21:26" x14ac:dyDescent="0.25">
      <c r="U105" s="25"/>
      <c r="V105" s="25"/>
      <c r="W105" s="25"/>
      <c r="X105" s="25"/>
      <c r="Y105" s="25"/>
      <c r="Z105" s="25"/>
    </row>
    <row r="106" spans="21:26" x14ac:dyDescent="0.25">
      <c r="U106" s="25"/>
      <c r="V106" s="25"/>
      <c r="W106" s="25"/>
      <c r="X106" s="25"/>
      <c r="Y106" s="25"/>
      <c r="Z106" s="25"/>
    </row>
    <row r="107" spans="21:26" x14ac:dyDescent="0.25">
      <c r="U107" s="25"/>
      <c r="V107" s="25"/>
      <c r="W107" s="25"/>
      <c r="X107" s="25"/>
      <c r="Y107" s="25"/>
      <c r="Z107" s="25"/>
    </row>
    <row r="108" spans="21:26" x14ac:dyDescent="0.25">
      <c r="U108" s="25"/>
      <c r="V108" s="25"/>
      <c r="W108" s="25"/>
      <c r="X108" s="25"/>
      <c r="Y108" s="25"/>
      <c r="Z108" s="25"/>
    </row>
    <row r="109" spans="21:26" x14ac:dyDescent="0.25">
      <c r="U109" s="25"/>
      <c r="V109" s="25"/>
      <c r="W109" s="25"/>
      <c r="X109" s="25"/>
      <c r="Y109" s="25"/>
      <c r="Z109" s="25"/>
    </row>
    <row r="110" spans="21:26" x14ac:dyDescent="0.25">
      <c r="U110" s="25"/>
      <c r="V110" s="25"/>
      <c r="W110" s="25"/>
      <c r="X110" s="25"/>
      <c r="Y110" s="25"/>
      <c r="Z110" s="25"/>
    </row>
    <row r="111" spans="21:26" x14ac:dyDescent="0.25">
      <c r="U111" s="25"/>
      <c r="V111" s="25"/>
      <c r="W111" s="25"/>
      <c r="X111" s="25"/>
      <c r="Y111" s="25"/>
      <c r="Z111" s="25"/>
    </row>
    <row r="112" spans="21:26" x14ac:dyDescent="0.25">
      <c r="U112" s="25"/>
      <c r="V112" s="25"/>
      <c r="W112" s="25"/>
      <c r="X112" s="25"/>
      <c r="Y112" s="25"/>
      <c r="Z112" s="25"/>
    </row>
    <row r="113" spans="21:26" x14ac:dyDescent="0.25">
      <c r="U113" s="25"/>
      <c r="V113" s="25"/>
      <c r="W113" s="25"/>
      <c r="X113" s="25"/>
      <c r="Y113" s="25"/>
      <c r="Z113" s="25"/>
    </row>
    <row r="114" spans="21:26" x14ac:dyDescent="0.25">
      <c r="U114" s="25"/>
      <c r="V114" s="25"/>
      <c r="W114" s="25"/>
      <c r="X114" s="25"/>
      <c r="Y114" s="25"/>
      <c r="Z114" s="25"/>
    </row>
    <row r="115" spans="21:26" x14ac:dyDescent="0.25">
      <c r="U115" s="25"/>
      <c r="V115" s="25"/>
      <c r="W115" s="25"/>
      <c r="X115" s="25"/>
      <c r="Y115" s="25"/>
      <c r="Z115" s="25"/>
    </row>
    <row r="116" spans="21:26" x14ac:dyDescent="0.25">
      <c r="U116" s="25"/>
      <c r="V116" s="25"/>
      <c r="W116" s="25"/>
      <c r="X116" s="25"/>
      <c r="Y116" s="25"/>
      <c r="Z116" s="25"/>
    </row>
    <row r="117" spans="21:26" x14ac:dyDescent="0.25">
      <c r="U117" s="25"/>
      <c r="V117" s="25"/>
      <c r="W117" s="25"/>
      <c r="X117" s="25"/>
      <c r="Y117" s="25"/>
      <c r="Z117" s="25"/>
    </row>
    <row r="118" spans="21:26" x14ac:dyDescent="0.25">
      <c r="U118" s="25"/>
      <c r="V118" s="25"/>
      <c r="W118" s="25"/>
      <c r="X118" s="25"/>
      <c r="Y118" s="25"/>
      <c r="Z118" s="25"/>
    </row>
    <row r="119" spans="21:26" x14ac:dyDescent="0.25">
      <c r="U119" s="25"/>
      <c r="V119" s="25"/>
      <c r="W119" s="25"/>
      <c r="X119" s="25"/>
      <c r="Y119" s="25"/>
      <c r="Z119" s="25"/>
    </row>
    <row r="120" spans="21:26" x14ac:dyDescent="0.25">
      <c r="U120" s="25"/>
      <c r="V120" s="25"/>
      <c r="W120" s="25"/>
      <c r="X120" s="25"/>
      <c r="Y120" s="25"/>
      <c r="Z120" s="25"/>
    </row>
    <row r="121" spans="21:26" x14ac:dyDescent="0.25">
      <c r="U121" s="25"/>
      <c r="V121" s="25"/>
      <c r="W121" s="25"/>
      <c r="X121" s="25"/>
      <c r="Y121" s="25"/>
      <c r="Z121" s="25"/>
    </row>
    <row r="122" spans="21:26" x14ac:dyDescent="0.25">
      <c r="U122" s="25"/>
      <c r="V122" s="25"/>
      <c r="W122" s="25"/>
      <c r="X122" s="25"/>
      <c r="Y122" s="25"/>
      <c r="Z122" s="25"/>
    </row>
    <row r="123" spans="21:26" x14ac:dyDescent="0.25">
      <c r="U123" s="25"/>
      <c r="V123" s="25"/>
      <c r="W123" s="25"/>
      <c r="X123" s="25"/>
      <c r="Y123" s="25"/>
      <c r="Z123" s="25"/>
    </row>
    <row r="124" spans="21:26" x14ac:dyDescent="0.25">
      <c r="U124" s="25"/>
      <c r="V124" s="25"/>
      <c r="W124" s="25"/>
      <c r="X124" s="25"/>
      <c r="Y124" s="25"/>
      <c r="Z124" s="25"/>
    </row>
    <row r="125" spans="21:26" x14ac:dyDescent="0.25">
      <c r="U125" s="25"/>
      <c r="V125" s="25"/>
      <c r="W125" s="25"/>
      <c r="X125" s="25"/>
      <c r="Y125" s="25"/>
      <c r="Z125" s="25"/>
    </row>
    <row r="126" spans="21:26" x14ac:dyDescent="0.25">
      <c r="U126" s="25"/>
      <c r="V126" s="25"/>
      <c r="W126" s="25"/>
      <c r="X126" s="25"/>
      <c r="Y126" s="25"/>
      <c r="Z126" s="25"/>
    </row>
    <row r="127" spans="21:26" x14ac:dyDescent="0.25">
      <c r="U127" s="25"/>
      <c r="V127" s="25"/>
      <c r="W127" s="25"/>
      <c r="X127" s="25"/>
      <c r="Y127" s="25"/>
      <c r="Z127" s="25"/>
    </row>
    <row r="128" spans="21:26" x14ac:dyDescent="0.25">
      <c r="U128" s="25"/>
      <c r="V128" s="25"/>
      <c r="W128" s="25"/>
      <c r="X128" s="25"/>
      <c r="Y128" s="25"/>
      <c r="Z128" s="25"/>
    </row>
    <row r="129" spans="21:26" x14ac:dyDescent="0.25">
      <c r="U129" s="25"/>
      <c r="V129" s="25"/>
      <c r="W129" s="25"/>
      <c r="X129" s="25"/>
      <c r="Y129" s="25"/>
      <c r="Z129" s="25"/>
    </row>
    <row r="130" spans="21:26" x14ac:dyDescent="0.25">
      <c r="U130" s="25"/>
      <c r="V130" s="25"/>
      <c r="W130" s="25"/>
      <c r="X130" s="25"/>
      <c r="Y130" s="25"/>
      <c r="Z130" s="25"/>
    </row>
    <row r="131" spans="21:26" x14ac:dyDescent="0.25">
      <c r="U131" s="25"/>
      <c r="V131" s="25"/>
      <c r="W131" s="25"/>
      <c r="X131" s="25"/>
      <c r="Y131" s="25"/>
      <c r="Z131" s="25"/>
    </row>
    <row r="132" spans="21:26" x14ac:dyDescent="0.25">
      <c r="U132" s="25"/>
      <c r="V132" s="25"/>
      <c r="W132" s="25"/>
      <c r="X132" s="25"/>
      <c r="Y132" s="25"/>
      <c r="Z132" s="25"/>
    </row>
    <row r="133" spans="21:26" x14ac:dyDescent="0.25">
      <c r="U133" s="25"/>
      <c r="V133" s="25"/>
      <c r="W133" s="25"/>
      <c r="X133" s="25"/>
      <c r="Y133" s="25"/>
      <c r="Z133" s="25"/>
    </row>
    <row r="134" spans="21:26" x14ac:dyDescent="0.25">
      <c r="U134" s="25"/>
      <c r="V134" s="25"/>
      <c r="W134" s="25"/>
      <c r="X134" s="25"/>
      <c r="Y134" s="25"/>
      <c r="Z134" s="25"/>
    </row>
    <row r="135" spans="21:26" x14ac:dyDescent="0.25">
      <c r="U135" s="25"/>
      <c r="V135" s="25"/>
      <c r="W135" s="25"/>
      <c r="X135" s="25"/>
      <c r="Y135" s="25"/>
      <c r="Z135" s="25"/>
    </row>
    <row r="136" spans="21:26" x14ac:dyDescent="0.25">
      <c r="U136" s="25"/>
      <c r="V136" s="25"/>
      <c r="W136" s="25"/>
      <c r="X136" s="25"/>
      <c r="Y136" s="25"/>
      <c r="Z136" s="25"/>
    </row>
    <row r="137" spans="21:26" x14ac:dyDescent="0.25">
      <c r="U137" s="25"/>
      <c r="V137" s="25"/>
      <c r="W137" s="25"/>
      <c r="X137" s="25"/>
      <c r="Y137" s="25"/>
      <c r="Z137" s="25"/>
    </row>
    <row r="138" spans="21:26" x14ac:dyDescent="0.25">
      <c r="U138" s="25"/>
      <c r="V138" s="25"/>
      <c r="W138" s="25"/>
      <c r="X138" s="25"/>
      <c r="Y138" s="25"/>
      <c r="Z138" s="25"/>
    </row>
    <row r="139" spans="21:26" x14ac:dyDescent="0.25">
      <c r="U139" s="25"/>
      <c r="V139" s="25"/>
      <c r="W139" s="25"/>
      <c r="X139" s="25"/>
      <c r="Y139" s="25"/>
      <c r="Z139" s="25"/>
    </row>
    <row r="140" spans="21:26" x14ac:dyDescent="0.25">
      <c r="U140" s="25"/>
      <c r="V140" s="25"/>
      <c r="W140" s="25"/>
      <c r="X140" s="25"/>
      <c r="Y140" s="25"/>
      <c r="Z140" s="25"/>
    </row>
    <row r="141" spans="21:26" x14ac:dyDescent="0.25">
      <c r="U141" s="25"/>
      <c r="V141" s="25"/>
      <c r="W141" s="25"/>
      <c r="X141" s="25"/>
      <c r="Y141" s="25"/>
      <c r="Z141" s="25"/>
    </row>
    <row r="142" spans="21:26" x14ac:dyDescent="0.25">
      <c r="U142" s="25"/>
      <c r="V142" s="25"/>
      <c r="W142" s="25"/>
      <c r="X142" s="25"/>
      <c r="Y142" s="25"/>
      <c r="Z142" s="25"/>
    </row>
    <row r="143" spans="21:26" x14ac:dyDescent="0.25">
      <c r="U143" s="25"/>
      <c r="V143" s="25"/>
      <c r="W143" s="25"/>
      <c r="X143" s="25"/>
      <c r="Y143" s="25"/>
      <c r="Z143" s="25"/>
    </row>
    <row r="144" spans="21:26" x14ac:dyDescent="0.25">
      <c r="U144" s="25"/>
      <c r="V144" s="25"/>
      <c r="W144" s="25"/>
      <c r="X144" s="25"/>
      <c r="Y144" s="25"/>
      <c r="Z144" s="25"/>
    </row>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sheetData>
  <sheetProtection algorithmName="SHA-512" hashValue="6w/sEk6nFDNsRm3QrSzPdoDXCs9xMJXdysP8AU6XCcnyjg4Qx2DQwNfcHFHeT1MIWlE+pWkZhKiqEUoe1PyqWQ==" saltValue="3bXBG8PVfX/U4oQooxnM/g==" spinCount="100000" sheet="1" objects="1" scenarios="1"/>
  <mergeCells count="35">
    <mergeCell ref="L79:O79"/>
    <mergeCell ref="D81:F81"/>
    <mergeCell ref="H83:J83"/>
    <mergeCell ref="L76:M76"/>
    <mergeCell ref="D77:F77"/>
    <mergeCell ref="L77:M77"/>
    <mergeCell ref="L78:M78"/>
    <mergeCell ref="D85:F85"/>
    <mergeCell ref="H56:J56"/>
    <mergeCell ref="H64:J64"/>
    <mergeCell ref="H72:J72"/>
    <mergeCell ref="H80:J80"/>
    <mergeCell ref="D69:F69"/>
    <mergeCell ref="H75:J75"/>
    <mergeCell ref="D57:F57"/>
    <mergeCell ref="L61:M61"/>
    <mergeCell ref="S3:Z3"/>
    <mergeCell ref="D61:F61"/>
    <mergeCell ref="T53:Z56"/>
    <mergeCell ref="Q71:S71"/>
    <mergeCell ref="D73:F73"/>
    <mergeCell ref="AD2:AM3"/>
    <mergeCell ref="AD16:AM18"/>
    <mergeCell ref="B2:P2"/>
    <mergeCell ref="J3:K3"/>
    <mergeCell ref="L63:O63"/>
    <mergeCell ref="T64:Z65"/>
    <mergeCell ref="Q68:R68"/>
    <mergeCell ref="L62:M62"/>
    <mergeCell ref="D65:F65"/>
    <mergeCell ref="H67:J67"/>
    <mergeCell ref="T62:Z63"/>
    <mergeCell ref="T57:Z61"/>
    <mergeCell ref="H59:J59"/>
    <mergeCell ref="L60:M60"/>
  </mergeCells>
  <conditionalFormatting sqref="D55 D59 D63 D67 D71 D75 D79 D83">
    <cfRule type="expression" dxfId="77" priority="23">
      <formula>$F55&gt;$F56</formula>
    </cfRule>
    <cfRule type="expression" dxfId="76" priority="24">
      <formula>$F55&lt;$F56</formula>
    </cfRule>
    <cfRule type="expression" dxfId="75" priority="25">
      <formula>$E55&lt;$E56</formula>
    </cfRule>
    <cfRule type="expression" dxfId="74" priority="26">
      <formula>$E55&gt;$E56</formula>
    </cfRule>
  </conditionalFormatting>
  <conditionalFormatting sqref="D56 D60 D64 D68 D72 D76 D80 D84">
    <cfRule type="expression" dxfId="73" priority="27">
      <formula>$F55&lt;$F56</formula>
    </cfRule>
    <cfRule type="expression" dxfId="72" priority="28">
      <formula>$F55&gt;$F56</formula>
    </cfRule>
    <cfRule type="expression" dxfId="71" priority="29">
      <formula>$E55&gt;$E56</formula>
    </cfRule>
    <cfRule type="expression" dxfId="70" priority="30">
      <formula>$E55&lt;$E56</formula>
    </cfRule>
  </conditionalFormatting>
  <conditionalFormatting sqref="F55 F59 F63 F67 F71 F75 F79 F83">
    <cfRule type="expression" dxfId="69" priority="17">
      <formula>AND($E55&lt;&gt;"",$E56&lt;&gt;"",$E55=$E56)</formula>
    </cfRule>
  </conditionalFormatting>
  <conditionalFormatting sqref="F56 F60 F64 F68 F72 F76 F80 F84">
    <cfRule type="expression" dxfId="68" priority="18">
      <formula>AND($E55&lt;&gt;"",$E56&lt;&gt;"",$E55=$E56)</formula>
    </cfRule>
  </conditionalFormatting>
  <conditionalFormatting sqref="H57 H65 H81">
    <cfRule type="expression" dxfId="67" priority="39">
      <formula>$I57&lt;$I58</formula>
    </cfRule>
    <cfRule type="expression" dxfId="66" priority="40">
      <formula>$I57&gt;$I58</formula>
    </cfRule>
    <cfRule type="expression" dxfId="65" priority="37">
      <formula>$J57&gt;$J58</formula>
    </cfRule>
    <cfRule type="expression" dxfId="64" priority="38">
      <formula>$J57&lt;$J58</formula>
    </cfRule>
  </conditionalFormatting>
  <conditionalFormatting sqref="H58 H66 H82">
    <cfRule type="expression" dxfId="63" priority="41">
      <formula>$J57&lt;$J58</formula>
    </cfRule>
    <cfRule type="expression" dxfId="62" priority="42">
      <formula>$J57&gt;$J58</formula>
    </cfRule>
    <cfRule type="expression" dxfId="61" priority="43">
      <formula>$I57&gt;$I58</formula>
    </cfRule>
    <cfRule type="expression" dxfId="60" priority="44">
      <formula>$I57&lt;$I58</formula>
    </cfRule>
  </conditionalFormatting>
  <conditionalFormatting sqref="H60 H84">
    <cfRule type="expression" dxfId="59" priority="19">
      <formula>$I60&lt;$J60</formula>
    </cfRule>
    <cfRule type="expression" dxfId="58" priority="20">
      <formula>$I60&gt;$J60</formula>
    </cfRule>
    <cfRule type="expression" dxfId="57" priority="21">
      <formula>#REF!&gt;#REF!</formula>
    </cfRule>
    <cfRule type="expression" dxfId="56" priority="22">
      <formula>#REF!&lt;#REF!</formula>
    </cfRule>
  </conditionalFormatting>
  <conditionalFormatting sqref="H68 H76">
    <cfRule type="expression" dxfId="55" priority="31">
      <formula>#REF!&lt;$G68</formula>
    </cfRule>
    <cfRule type="expression" dxfId="54" priority="32">
      <formula>#REF!&gt;$G68</formula>
    </cfRule>
    <cfRule type="expression" dxfId="53" priority="33">
      <formula>#REF!&gt;#REF!</formula>
    </cfRule>
    <cfRule type="expression" dxfId="52" priority="34">
      <formula>#REF!&lt;#REF!</formula>
    </cfRule>
  </conditionalFormatting>
  <conditionalFormatting sqref="H73">
    <cfRule type="expression" dxfId="51" priority="50">
      <formula>$J74&lt;$J73</formula>
    </cfRule>
    <cfRule type="expression" dxfId="50" priority="53">
      <formula>$I74&lt;$I73</formula>
    </cfRule>
    <cfRule type="expression" dxfId="49" priority="52">
      <formula>$I74&gt;$I73</formula>
    </cfRule>
    <cfRule type="expression" dxfId="48" priority="51">
      <formula>$J74&gt;$J73</formula>
    </cfRule>
  </conditionalFormatting>
  <conditionalFormatting sqref="H74">
    <cfRule type="expression" dxfId="47" priority="47">
      <formula>$J74&lt;$J73</formula>
    </cfRule>
    <cfRule type="expression" dxfId="46" priority="48">
      <formula>$I74&lt;$I73</formula>
    </cfRule>
    <cfRule type="expression" dxfId="45" priority="49">
      <formula>$I74&gt;$I73</formula>
    </cfRule>
    <cfRule type="expression" dxfId="44" priority="46">
      <formula>$J74&gt;$J73</formula>
    </cfRule>
  </conditionalFormatting>
  <conditionalFormatting sqref="H4:I51">
    <cfRule type="expression" dxfId="43" priority="158">
      <formula>$J4&lt;$K4</formula>
    </cfRule>
    <cfRule type="expression" dxfId="42" priority="159">
      <formula>$J4&gt;$K4</formula>
    </cfRule>
  </conditionalFormatting>
  <conditionalFormatting sqref="H53:I53 L53">
    <cfRule type="expression" dxfId="41" priority="171">
      <formula>$J53&gt;$K53</formula>
    </cfRule>
    <cfRule type="expression" dxfId="40" priority="170">
      <formula>$J53&lt;$K53</formula>
    </cfRule>
  </conditionalFormatting>
  <conditionalFormatting sqref="I60:J60 K61 G65 G68 G73 G76 G81 I84:K84">
    <cfRule type="expression" dxfId="39" priority="16">
      <formula>AND(#REF!&lt;&gt;"",#REF!&lt;&gt;"",#REF!=#REF!)</formula>
    </cfRule>
  </conditionalFormatting>
  <conditionalFormatting sqref="J53 E55:E56 I57:I58 E59:E60 N61:N62 E63:E64 I65:I66 E67:E68 R69:R70 E71:E72 I73:I74 E75:E76 N77:N78 E79:E80 I81:I82 E83:E84">
    <cfRule type="expression" dxfId="38" priority="15">
      <formula>ISTEXT(E53)</formula>
    </cfRule>
  </conditionalFormatting>
  <conditionalFormatting sqref="J57 J65 J81">
    <cfRule type="expression" dxfId="37" priority="36">
      <formula>AND($I57&lt;&gt;"",$I58&lt;&gt;"",$I57=$I58)</formula>
    </cfRule>
  </conditionalFormatting>
  <conditionalFormatting sqref="J58 J66 J82">
    <cfRule type="expression" dxfId="36" priority="35">
      <formula>AND($I57&lt;&gt;"",$I58&lt;&gt;"",$I57=$I58)</formula>
    </cfRule>
  </conditionalFormatting>
  <conditionalFormatting sqref="J73">
    <cfRule type="expression" dxfId="35" priority="54">
      <formula>AND($I74&lt;&gt;"",$I73&lt;&gt;"",$I74=$I73)</formula>
    </cfRule>
  </conditionalFormatting>
  <conditionalFormatting sqref="J74">
    <cfRule type="expression" dxfId="34" priority="45">
      <formula>AND($I74&lt;&gt;"",$I73&lt;&gt;"",$I74=$I73)</formula>
    </cfRule>
  </conditionalFormatting>
  <conditionalFormatting sqref="J4:K51">
    <cfRule type="expression" dxfId="33" priority="172">
      <formula>ISTEXT(J4)</formula>
    </cfRule>
  </conditionalFormatting>
  <conditionalFormatting sqref="L4:L51">
    <cfRule type="expression" dxfId="32" priority="154">
      <formula>$J4&lt;$K4</formula>
    </cfRule>
    <cfRule type="expression" dxfId="31" priority="155">
      <formula>$J4&gt;$K4</formula>
    </cfRule>
  </conditionalFormatting>
  <conditionalFormatting sqref="L61 L77">
    <cfRule type="expression" dxfId="30" priority="60">
      <formula>$N61&gt;$N62</formula>
    </cfRule>
    <cfRule type="expression" dxfId="29" priority="57">
      <formula>$O61&gt;$O62</formula>
    </cfRule>
    <cfRule type="expression" dxfId="28" priority="58">
      <formula>$O61&lt;$O62</formula>
    </cfRule>
    <cfRule type="expression" dxfId="27" priority="59">
      <formula>$N61&lt;$N62</formula>
    </cfRule>
  </conditionalFormatting>
  <conditionalFormatting sqref="L62 L78">
    <cfRule type="expression" dxfId="26" priority="64">
      <formula>$N61&lt;$N62</formula>
    </cfRule>
    <cfRule type="expression" dxfId="25" priority="61">
      <formula>$O61&lt;$O62</formula>
    </cfRule>
    <cfRule type="expression" dxfId="24" priority="62">
      <formula>$O61&gt;$O62</formula>
    </cfRule>
    <cfRule type="expression" dxfId="23" priority="63">
      <formula>$N61&gt;$N62</formula>
    </cfRule>
  </conditionalFormatting>
  <conditionalFormatting sqref="M4:M51">
    <cfRule type="expression" dxfId="22" priority="156">
      <formula>$J4&gt;$K4</formula>
    </cfRule>
    <cfRule type="expression" dxfId="21" priority="157">
      <formula>$J4&lt;$K4</formula>
    </cfRule>
  </conditionalFormatting>
  <conditionalFormatting sqref="M53">
    <cfRule type="expression" dxfId="20" priority="168">
      <formula>$J53&gt;$K53</formula>
    </cfRule>
    <cfRule type="expression" dxfId="19" priority="169">
      <formula>$J53&lt;$K53</formula>
    </cfRule>
  </conditionalFormatting>
  <conditionalFormatting sqref="O61 O77">
    <cfRule type="expression" dxfId="18" priority="55">
      <formula>AND($N61&lt;&gt;"",$N62&lt;&gt;"",$N61=$N62)</formula>
    </cfRule>
  </conditionalFormatting>
  <conditionalFormatting sqref="O62 O78">
    <cfRule type="expression" dxfId="17" priority="56">
      <formula>AND($N61&lt;&gt;"",$N62&lt;&gt;"",$N61=$N62)</formula>
    </cfRule>
  </conditionalFormatting>
  <conditionalFormatting sqref="Q67">
    <cfRule type="expression" dxfId="16" priority="9">
      <formula>$J67&gt;$K67</formula>
    </cfRule>
    <cfRule type="expression" dxfId="15" priority="8">
      <formula>$J67&lt;$K67</formula>
    </cfRule>
  </conditionalFormatting>
  <conditionalFormatting sqref="Q69">
    <cfRule type="expression" dxfId="14" priority="65">
      <formula>$S69&gt;$S70</formula>
    </cfRule>
    <cfRule type="expression" dxfId="13" priority="67">
      <formula>$R69&lt;$R70</formula>
    </cfRule>
    <cfRule type="expression" dxfId="12" priority="68">
      <formula>$R69&gt;$R70</formula>
    </cfRule>
    <cfRule type="expression" dxfId="11" priority="66">
      <formula>$S69&lt;$S70</formula>
    </cfRule>
  </conditionalFormatting>
  <conditionalFormatting sqref="Q70">
    <cfRule type="expression" dxfId="10" priority="69">
      <formula>$S69&lt;$S70</formula>
    </cfRule>
    <cfRule type="expression" dxfId="9" priority="70">
      <formula>$S69&gt;$S70</formula>
    </cfRule>
    <cfRule type="expression" dxfId="8" priority="71">
      <formula>$R69&gt;$R70</formula>
    </cfRule>
    <cfRule type="expression" dxfId="7" priority="72">
      <formula>$R69&lt;$R70</formula>
    </cfRule>
  </conditionalFormatting>
  <conditionalFormatting sqref="R67">
    <cfRule type="expression" dxfId="6" priority="6">
      <formula>$J67&gt;$K67</formula>
    </cfRule>
    <cfRule type="expression" dxfId="5" priority="7">
      <formula>$J67&lt;$K67</formula>
    </cfRule>
  </conditionalFormatting>
  <conditionalFormatting sqref="R51:Z51 T53 T57:Z65">
    <cfRule type="expression" dxfId="4" priority="140">
      <formula>$B$86&lt;&gt;"© 2025 | journalSHEET.com"</formula>
    </cfRule>
  </conditionalFormatting>
  <conditionalFormatting sqref="S69">
    <cfRule type="expression" dxfId="3" priority="4">
      <formula>AND($R69&lt;&gt;"",$R70&lt;&gt;"",$R69=$R70)</formula>
    </cfRule>
  </conditionalFormatting>
  <conditionalFormatting sqref="S70">
    <cfRule type="expression" dxfId="2" priority="5">
      <formula>AND($R69&lt;&gt;"",$R70&lt;&gt;"",$R69=$R70)</formula>
    </cfRule>
  </conditionalFormatting>
  <hyperlinks>
    <hyperlink ref="AD16:AM18" location="about" display="about" xr:uid="{823D08E2-0486-4F9B-B0E3-8F4292715F99}"/>
  </hyperlinks>
  <printOptions horizontalCentered="1" verticalCentered="1"/>
  <pageMargins left="0.3" right="0.3" top="0.2" bottom="0.2" header="0.21" footer="0.2"/>
  <pageSetup scale="86" fitToHeight="0" orientation="landscape" horizontalDpi="300" verticalDpi="300" r:id="rId1"/>
  <headerFooter alignWithMargins="0"/>
  <rowBreaks count="1" manualBreakCount="1">
    <brk id="51"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E152"/>
  <sheetViews>
    <sheetView showGridLines="0" zoomScaleNormal="100" workbookViewId="0">
      <selection activeCell="J6" sqref="J6"/>
    </sheetView>
  </sheetViews>
  <sheetFormatPr defaultColWidth="9.140625" defaultRowHeight="15" x14ac:dyDescent="0.25"/>
  <cols>
    <col min="1" max="1" width="4.140625" style="194" customWidth="1"/>
    <col min="2" max="2" width="15.42578125" style="195" bestFit="1" customWidth="1"/>
    <col min="3" max="9" width="5.7109375" style="194" customWidth="1"/>
    <col min="10" max="10" width="10.42578125" style="194" bestFit="1" customWidth="1"/>
    <col min="11" max="11" width="13.140625" style="194" bestFit="1" customWidth="1"/>
    <col min="12" max="13" width="5.7109375" style="194" customWidth="1"/>
    <col min="14" max="14" width="15.42578125" style="195" bestFit="1" customWidth="1"/>
    <col min="15" max="15" width="5.5703125" style="194" bestFit="1" customWidth="1"/>
    <col min="16" max="16" width="15.42578125" style="194" bestFit="1" customWidth="1"/>
    <col min="17" max="17" width="9" style="194" bestFit="1" customWidth="1"/>
    <col min="18" max="19" width="6" style="194" bestFit="1" customWidth="1"/>
    <col min="20" max="20" width="5.7109375" style="194" customWidth="1"/>
    <col min="21" max="21" width="13.140625" style="194" bestFit="1" customWidth="1"/>
    <col min="22" max="39" width="5.7109375" style="194" customWidth="1"/>
    <col min="40" max="40" width="12" style="194" bestFit="1" customWidth="1"/>
    <col min="41" max="41" width="13.140625" style="194" bestFit="1" customWidth="1"/>
    <col min="42" max="58" width="5.7109375" style="194" customWidth="1"/>
    <col min="59" max="59" width="2.85546875" style="194" bestFit="1" customWidth="1"/>
    <col min="60" max="60" width="7.7109375" style="194" bestFit="1" customWidth="1"/>
    <col min="61" max="61" width="10.5703125" style="194" bestFit="1" customWidth="1"/>
    <col min="62" max="79" width="5.7109375" style="194" customWidth="1"/>
    <col min="80" max="80" width="16.5703125" style="194" bestFit="1" customWidth="1"/>
    <col min="81" max="81" width="10.5703125" style="194" bestFit="1" customWidth="1"/>
    <col min="82" max="99" width="5.7109375" style="194" customWidth="1"/>
    <col min="100" max="100" width="2.85546875" style="194" customWidth="1"/>
    <col min="101" max="101" width="15.42578125" style="194" bestFit="1" customWidth="1"/>
    <col min="102" max="102" width="1.85546875" style="194" bestFit="1" customWidth="1"/>
    <col min="103" max="103" width="2.85546875" style="194" bestFit="1" customWidth="1"/>
    <col min="104" max="104" width="15.42578125" style="194" bestFit="1" customWidth="1"/>
    <col min="105" max="105" width="3.140625" style="194" bestFit="1" customWidth="1"/>
    <col min="106" max="106" width="3.42578125" style="194" bestFit="1" customWidth="1"/>
    <col min="107" max="107" width="15.42578125" style="194" bestFit="1" customWidth="1"/>
    <col min="108" max="109" width="2.5703125" style="194" bestFit="1" customWidth="1"/>
    <col min="110" max="112" width="2.85546875" style="194" customWidth="1"/>
    <col min="113" max="117" width="9.140625" style="194"/>
    <col min="118" max="119" width="9.140625" style="20"/>
    <col min="120" max="120" width="9.85546875" style="196" customWidth="1"/>
    <col min="121" max="121" width="3.28515625" style="196" customWidth="1"/>
    <col min="122" max="122" width="23" style="196" customWidth="1"/>
    <col min="123" max="123" width="30.85546875" style="196" customWidth="1"/>
    <col min="124" max="124" width="40.85546875" style="196" customWidth="1"/>
    <col min="125" max="125" width="4.7109375" style="196" bestFit="1" customWidth="1"/>
    <col min="126" max="126" width="9.28515625" style="196" bestFit="1" customWidth="1"/>
    <col min="127" max="127" width="13.5703125" style="196" customWidth="1"/>
    <col min="128" max="129" width="9.42578125" style="196" bestFit="1" customWidth="1"/>
    <col min="130" max="131" width="13.5703125" style="196" bestFit="1" customWidth="1"/>
    <col min="132" max="132" width="13.5703125" style="196" customWidth="1"/>
    <col min="133" max="133" width="9.42578125" style="196" bestFit="1" customWidth="1"/>
    <col min="134" max="135" width="9.140625" style="196"/>
    <col min="136" max="16384" width="9.140625" style="20"/>
  </cols>
  <sheetData>
    <row r="1" spans="1:134" x14ac:dyDescent="0.25">
      <c r="AG1" s="194" t="s">
        <v>562</v>
      </c>
    </row>
    <row r="2" spans="1:134" x14ac:dyDescent="0.25">
      <c r="U2" s="194" t="s">
        <v>563</v>
      </c>
      <c r="AG2" s="194">
        <v>1</v>
      </c>
      <c r="AH2" s="194">
        <v>2</v>
      </c>
      <c r="AI2" s="194">
        <v>3</v>
      </c>
      <c r="AJ2" s="194">
        <v>5</v>
      </c>
      <c r="AK2" s="194">
        <v>6</v>
      </c>
      <c r="AL2" s="194">
        <v>9</v>
      </c>
      <c r="AO2" s="194" t="s">
        <v>564</v>
      </c>
      <c r="BI2" s="194" t="s">
        <v>565</v>
      </c>
      <c r="CC2" s="194" t="s">
        <v>566</v>
      </c>
      <c r="CZ2" s="197">
        <f>INDEX(Matches!D4:D52,MATCH(49,Matches!B4:B52,0),0)</f>
        <v>0</v>
      </c>
      <c r="DA2" s="194" t="s">
        <v>567</v>
      </c>
      <c r="DB2" s="194" t="s">
        <v>568</v>
      </c>
    </row>
    <row r="3" spans="1:134" x14ac:dyDescent="0.25">
      <c r="C3" s="194" t="s">
        <v>80</v>
      </c>
      <c r="D3" s="194" t="s">
        <v>81</v>
      </c>
      <c r="E3" s="194" t="s">
        <v>82</v>
      </c>
      <c r="F3" s="194" t="s">
        <v>567</v>
      </c>
      <c r="G3" s="194" t="s">
        <v>568</v>
      </c>
      <c r="H3" s="194" t="s">
        <v>569</v>
      </c>
      <c r="I3" s="194" t="s">
        <v>570</v>
      </c>
      <c r="J3" s="194" t="s">
        <v>571</v>
      </c>
      <c r="K3" s="194" t="s">
        <v>572</v>
      </c>
      <c r="M3" s="194" t="s">
        <v>573</v>
      </c>
      <c r="P3" s="194" t="s">
        <v>574</v>
      </c>
      <c r="Q3" s="194" t="s">
        <v>575</v>
      </c>
      <c r="R3" s="194" t="s">
        <v>576</v>
      </c>
      <c r="S3" s="194" t="s">
        <v>577</v>
      </c>
      <c r="U3" s="194" t="s">
        <v>578</v>
      </c>
      <c r="V3" s="194" t="s">
        <v>80</v>
      </c>
      <c r="W3" s="194" t="s">
        <v>81</v>
      </c>
      <c r="X3" s="194" t="s">
        <v>82</v>
      </c>
      <c r="Y3" s="194" t="s">
        <v>567</v>
      </c>
      <c r="Z3" s="194" t="s">
        <v>568</v>
      </c>
      <c r="AA3" s="194" t="s">
        <v>569</v>
      </c>
      <c r="AB3" s="194" t="s">
        <v>79</v>
      </c>
      <c r="AC3" s="194" t="s">
        <v>579</v>
      </c>
      <c r="AD3" s="194" t="s">
        <v>580</v>
      </c>
      <c r="AE3" s="194" t="s">
        <v>581</v>
      </c>
      <c r="AF3" s="194" t="s">
        <v>582</v>
      </c>
      <c r="AG3" s="194" t="s">
        <v>583</v>
      </c>
      <c r="AH3" s="194" t="s">
        <v>584</v>
      </c>
      <c r="AI3" s="194" t="s">
        <v>567</v>
      </c>
      <c r="AJ3" s="194" t="s">
        <v>585</v>
      </c>
      <c r="AK3" s="194" t="s">
        <v>580</v>
      </c>
      <c r="AL3" s="194" t="s">
        <v>581</v>
      </c>
      <c r="AM3" s="194" t="s">
        <v>586</v>
      </c>
      <c r="AO3" s="194" t="s">
        <v>578</v>
      </c>
      <c r="AP3" s="194" t="s">
        <v>80</v>
      </c>
      <c r="AQ3" s="194" t="s">
        <v>81</v>
      </c>
      <c r="AR3" s="194" t="s">
        <v>82</v>
      </c>
      <c r="AS3" s="194" t="s">
        <v>567</v>
      </c>
      <c r="AT3" s="194" t="s">
        <v>568</v>
      </c>
      <c r="AU3" s="194" t="s">
        <v>569</v>
      </c>
      <c r="AV3" s="194" t="s">
        <v>79</v>
      </c>
      <c r="AW3" s="194" t="s">
        <v>579</v>
      </c>
      <c r="AX3" s="194" t="s">
        <v>580</v>
      </c>
      <c r="AY3" s="194" t="s">
        <v>581</v>
      </c>
      <c r="AZ3" s="194" t="s">
        <v>582</v>
      </c>
      <c r="BA3" s="194" t="s">
        <v>583</v>
      </c>
      <c r="BB3" s="194" t="s">
        <v>584</v>
      </c>
      <c r="BC3" s="194" t="s">
        <v>567</v>
      </c>
      <c r="BD3" s="194" t="s">
        <v>585</v>
      </c>
      <c r="BE3" s="194" t="s">
        <v>580</v>
      </c>
      <c r="BF3" s="194" t="s">
        <v>581</v>
      </c>
      <c r="BG3" s="194" t="s">
        <v>586</v>
      </c>
      <c r="BI3" s="194" t="s">
        <v>578</v>
      </c>
      <c r="BJ3" s="194" t="s">
        <v>80</v>
      </c>
      <c r="BK3" s="194" t="s">
        <v>81</v>
      </c>
      <c r="BL3" s="194" t="s">
        <v>82</v>
      </c>
      <c r="BM3" s="194" t="s">
        <v>567</v>
      </c>
      <c r="BN3" s="194" t="s">
        <v>568</v>
      </c>
      <c r="BO3" s="194" t="s">
        <v>569</v>
      </c>
      <c r="BP3" s="194" t="s">
        <v>79</v>
      </c>
      <c r="BQ3" s="194" t="s">
        <v>579</v>
      </c>
      <c r="BR3" s="194" t="s">
        <v>580</v>
      </c>
      <c r="BS3" s="194" t="s">
        <v>581</v>
      </c>
      <c r="BT3" s="194" t="s">
        <v>582</v>
      </c>
      <c r="BU3" s="194" t="s">
        <v>583</v>
      </c>
      <c r="BV3" s="194" t="s">
        <v>584</v>
      </c>
      <c r="BW3" s="194" t="s">
        <v>567</v>
      </c>
      <c r="BX3" s="194" t="s">
        <v>579</v>
      </c>
      <c r="BY3" s="194" t="s">
        <v>580</v>
      </c>
      <c r="BZ3" s="194" t="s">
        <v>581</v>
      </c>
      <c r="CA3" s="194" t="s">
        <v>586</v>
      </c>
      <c r="CC3" s="194" t="s">
        <v>578</v>
      </c>
      <c r="CD3" s="194" t="s">
        <v>80</v>
      </c>
      <c r="CE3" s="194" t="s">
        <v>81</v>
      </c>
      <c r="CF3" s="194" t="s">
        <v>82</v>
      </c>
      <c r="CG3" s="194" t="s">
        <v>567</v>
      </c>
      <c r="CH3" s="194" t="s">
        <v>568</v>
      </c>
      <c r="CI3" s="194" t="s">
        <v>569</v>
      </c>
      <c r="CJ3" s="194" t="s">
        <v>79</v>
      </c>
      <c r="CK3" s="194" t="s">
        <v>579</v>
      </c>
      <c r="CL3" s="194" t="s">
        <v>580</v>
      </c>
      <c r="CM3" s="194" t="s">
        <v>581</v>
      </c>
      <c r="CN3" s="194" t="s">
        <v>582</v>
      </c>
      <c r="CO3" s="194" t="s">
        <v>583</v>
      </c>
      <c r="CP3" s="194" t="s">
        <v>584</v>
      </c>
      <c r="CQ3" s="194" t="s">
        <v>567</v>
      </c>
      <c r="CR3" s="194" t="s">
        <v>579</v>
      </c>
      <c r="CS3" s="194" t="s">
        <v>580</v>
      </c>
      <c r="CT3" s="194" t="s">
        <v>581</v>
      </c>
      <c r="CU3" s="194" t="s">
        <v>586</v>
      </c>
      <c r="CY3" s="194">
        <v>1</v>
      </c>
      <c r="CZ3" s="194" t="str">
        <f>Matches!H4</f>
        <v>Al Ahly</v>
      </c>
      <c r="DA3" s="194">
        <f>IF(CZ2&lt;&gt;"",IF(AND(Matches!J4&lt;&gt;"",Matches!K4&lt;&gt;""),Matches!J4,0),"")</f>
        <v>0</v>
      </c>
      <c r="DB3" s="194">
        <f>IF(CZ2&lt;&gt;"",IF(AND(Matches!J4&lt;&gt;"",Matches!K4&lt;&gt;""),Matches!K4,0),"")</f>
        <v>0</v>
      </c>
      <c r="DC3" s="194" t="str">
        <f>Matches!M4</f>
        <v>Inter Miami</v>
      </c>
      <c r="DD3" s="194" t="str">
        <f>IF(AND(Matches!J4&lt;&gt;"",Matches!K4&lt;&gt;""),IF(DA3&gt;DB3,"W",IF(DA3=DB3,"D","L")),"")</f>
        <v/>
      </c>
      <c r="DE3" s="194" t="str">
        <f>IF(DD3&lt;&gt;"",IF(DD3="W","L",IF(DD3="L","W","D")),"")</f>
        <v/>
      </c>
    </row>
    <row r="4" spans="1:134" x14ac:dyDescent="0.25">
      <c r="A4" s="194">
        <f>VLOOKUP(B4,CW4:CX8,2,FALSE)</f>
        <v>1</v>
      </c>
      <c r="B4" s="195" t="str">
        <f>ED7</f>
        <v>Palmeiras</v>
      </c>
      <c r="C4" s="194">
        <f>SUMPRODUCT((CZ3:CZ54=B4)*(DD3:DD54="W"))+SUMPRODUCT((DC3:DC54=B4)*(DE3:DE54="W"))</f>
        <v>0</v>
      </c>
      <c r="D4" s="194">
        <f>SUMPRODUCT((CZ3:CZ54=B4)*(DD3:DD54="D"))+SUMPRODUCT((DC3:DC54=B4)*(DE3:DE54="D"))</f>
        <v>0</v>
      </c>
      <c r="E4" s="194">
        <f>SUMPRODUCT((CZ3:CZ54=B4)*(DD3:DD54="L"))+SUMPRODUCT((DC3:DC54=B4)*(DE3:DE54="L"))</f>
        <v>0</v>
      </c>
      <c r="F4" s="194">
        <f>SUMIF(CZ3:CZ72,B4,DA3:DA72)+SUMIF(DC3:DC72,B4,DB3:DB72)</f>
        <v>0</v>
      </c>
      <c r="G4" s="194">
        <f>SUMIF(DC3:DC72,B4,DA3:DA72)+SUMIF(CZ3:CZ72,B4,DB3:DB72)</f>
        <v>0</v>
      </c>
      <c r="H4" s="194">
        <f>F4-G4+1000</f>
        <v>1000</v>
      </c>
      <c r="I4" s="194">
        <f>C4*3+D4*1</f>
        <v>0</v>
      </c>
      <c r="J4" s="194">
        <f>IF(Setup!G8&lt;&gt;"",Setup!G8,27)</f>
        <v>27</v>
      </c>
      <c r="K4" s="194">
        <f>IF(COUNTIF(I4:I8,4)&lt;&gt;4,RANK(I4,I4:I8),I56)</f>
        <v>1</v>
      </c>
      <c r="M4" s="194">
        <f>SUMPRODUCT((K4:K7=K4)*(J4:J7&lt;J4))+K4</f>
        <v>4</v>
      </c>
      <c r="N4" s="195" t="str">
        <f>INDEX(B4:B8,MATCH(1,M4:M8,0),0)</f>
        <v>Inter Miami</v>
      </c>
      <c r="O4" s="194">
        <f>INDEX(K4:K8,MATCH(N4,B4:B8,0),0)</f>
        <v>1</v>
      </c>
      <c r="P4" s="194" t="str">
        <f>IF(O5=1,N4,"")</f>
        <v>Inter Miami</v>
      </c>
      <c r="Q4" s="194" t="str">
        <f>IF(O6=2,N5,"")</f>
        <v/>
      </c>
      <c r="R4" s="194" t="str">
        <f>IF(O7=3,N6,"")</f>
        <v/>
      </c>
      <c r="S4" s="194" t="str">
        <f>IF(O8=4,N7,"")</f>
        <v/>
      </c>
      <c r="U4" s="194" t="str">
        <f>IF(P4&lt;&gt;"",P4,"")</f>
        <v>Inter Miami</v>
      </c>
      <c r="V4" s="194">
        <f>SUMPRODUCT((CZ3:CZ54=U4)*(DC3:DC54=U5)*(DD3:DD54="W"))+SUMPRODUCT((CZ3:CZ54=U4)*(DC3:DC54=U6)*(DD3:DD54="W"))+SUMPRODUCT((CZ3:CZ54=U4)*(DC3:DC54=U7)*(DD3:DD54="W"))+SUMPRODUCT((CZ3:CZ54=U4)*(DC3:DC54=U8)*(DD3:DD54="W"))+SUMPRODUCT((CZ3:CZ54=U5)*(DC3:DC54=U4)*(DE3:DE54="W"))+SUMPRODUCT((CZ3:CZ54=U6)*(DC3:DC54=U4)*(DE3:DE54="W"))+SUMPRODUCT((CZ3:CZ54=U7)*(DC3:DC54=U4)*(DE3:DE54="W"))+SUMPRODUCT((CZ3:CZ54=U8)*(DC3:DC54=U4)*(DE3:DE54="W"))</f>
        <v>0</v>
      </c>
      <c r="W4" s="194">
        <f>SUMPRODUCT((CZ3:CZ54=U4)*(DC3:DC54=U5)*(DD3:DD54="D"))+SUMPRODUCT((CZ3:CZ54=U4)*(DC3:DC54=U6)*(DD3:DD54="D"))+SUMPRODUCT((CZ3:CZ54=U4)*(DC3:DC54=U7)*(DD3:DD54="D"))+SUMPRODUCT((CZ3:CZ54=U4)*(DC3:DC54=U8)*(DD3:DD54="D"))+SUMPRODUCT((CZ3:CZ54=U5)*(DC3:DC54=U4)*(DD3:DD54="D"))+SUMPRODUCT((CZ3:CZ54=U6)*(DC3:DC54=U4)*(DD3:DD54="D"))+SUMPRODUCT((CZ3:CZ54=U7)*(DC3:DC54=U4)*(DD3:DD54="D"))+SUMPRODUCT((CZ3:CZ54=U8)*(DC3:DC54=U4)*(DD3:DD54="D"))</f>
        <v>0</v>
      </c>
      <c r="X4" s="194">
        <f>SUMPRODUCT((CZ3:CZ54=U4)*(DC3:DC54=U5)*(DD3:DD54="L"))+SUMPRODUCT((CZ3:CZ54=U4)*(DC3:DC54=U6)*(DD3:DD54="L"))+SUMPRODUCT((CZ3:CZ54=U4)*(DC3:DC54=U7)*(DD3:DD54="L"))+SUMPRODUCT((CZ3:CZ54=U4)*(DC3:DC54=U8)*(DD3:DD54="L"))+SUMPRODUCT((CZ3:CZ54=U5)*(DC3:DC54=U4)*(DE3:DE54="L"))+SUMPRODUCT((CZ3:CZ54=U6)*(DC3:DC54=U4)*(DE3:DE54="L"))+SUMPRODUCT((CZ3:CZ54=U7)*(DC3:DC54=U4)*(DE3:DE54="L"))+SUMPRODUCT((CZ3:CZ54=U8)*(DC3:DC54=U4)*(DE3:DE54="L"))</f>
        <v>0</v>
      </c>
      <c r="Y4" s="194">
        <f>SUMPRODUCT((CZ3:CZ54=U4)*(DC3:DC54=U5)*DA3:DA54)+SUMPRODUCT((CZ3:CZ54=U4)*(DC3:DC54=U6)*DA3:DA54)+SUMPRODUCT((CZ3:CZ54=U4)*(DC3:DC54=U7)*DA3:DA54)+SUMPRODUCT((CZ3:CZ54=U4)*(DC3:DC54=U8)*DA3:DA54)+SUMPRODUCT((CZ3:CZ54=U5)*(DC3:DC54=U4)*DB3:DB54)+SUMPRODUCT((CZ3:CZ54=U6)*(DC3:DC54=U4)*DB3:DB54)+SUMPRODUCT((CZ3:CZ54=U7)*(DC3:DC54=U4)*DB3:DB54)+SUMPRODUCT((CZ3:CZ54=U8)*(DC3:DC54=U4)*DB3:DB54)</f>
        <v>0</v>
      </c>
      <c r="Z4" s="194">
        <f>SUMPRODUCT((CZ3:CZ54=U4)*(DC3:DC54=U5)*DB3:DB54)+SUMPRODUCT((CZ3:CZ54=U4)*(DC3:DC54=U6)*DB3:DB54)+SUMPRODUCT((CZ3:CZ54=U4)*(DC3:DC54=U7)*DB3:DB54)+SUMPRODUCT((CZ3:CZ54=U4)*(DC3:DC54=U8)*DB3:DB54)+SUMPRODUCT((CZ3:CZ54=U5)*(DC3:DC54=U4)*DA3:DA54)+SUMPRODUCT((CZ3:CZ54=U6)*(DC3:DC54=U4)*DA3:DA54)+SUMPRODUCT((CZ3:CZ54=U7)*(DC3:DC54=U4)*DA3:DA54)+SUMPRODUCT((CZ3:CZ54=U8)*(DC3:DC54=U4)*DA3:DA54)</f>
        <v>0</v>
      </c>
      <c r="AA4" s="194">
        <f>Y4-Z4+1000</f>
        <v>1000</v>
      </c>
      <c r="AB4" s="194">
        <f>IF(U4&lt;&gt;"",V4*3+W4*1,"")</f>
        <v>0</v>
      </c>
      <c r="AC4" s="194">
        <f>IF(U4&lt;&gt;"",VLOOKUP(U4,B4:H52,7,FALSE),"")</f>
        <v>1000</v>
      </c>
      <c r="AD4" s="194">
        <f>IF(U4&lt;&gt;"",VLOOKUP(U4,B4:H52,5,FALSE),"")</f>
        <v>0</v>
      </c>
      <c r="AE4" s="194">
        <f>IF(U4&lt;&gt;"",VLOOKUP(U4,B4:J52,9,FALSE),"")</f>
        <v>8</v>
      </c>
      <c r="AF4" s="194">
        <f>AB4</f>
        <v>0</v>
      </c>
      <c r="AG4" s="194">
        <f>IF(U4&lt;&gt;"",RANK(AF4,AF4:AF8),"")</f>
        <v>1</v>
      </c>
      <c r="AH4" s="194">
        <f>IF(U4&lt;&gt;"",SUMPRODUCT((AF4:AF8=AF4)*(AA4:AA8&gt;AA4)),"")</f>
        <v>0</v>
      </c>
      <c r="AI4" s="194">
        <f>IF(U4&lt;&gt;"",SUMPRODUCT((AF4:AF8=AF4)*(AA4:AA8=AA4)*(Y4:Y8&gt;Y4)),"")</f>
        <v>0</v>
      </c>
      <c r="AJ4" s="194">
        <f>IF(U4&lt;&gt;"",SUMPRODUCT((AF4:AF8=AF4)*(AA4:AA8=AA4)*(Y4:Y8=Y4)*(AC4:AC8&gt;AC4)),"")</f>
        <v>0</v>
      </c>
      <c r="AK4" s="194">
        <f>IF(U4&lt;&gt;"",SUMPRODUCT((AF4:AF8=AF4)*(AA4:AA8=AA4)*(Y4:Y8=Y4)*(AC4:AC8=AC4)*(AD4:AD8&gt;AD4)),"")</f>
        <v>0</v>
      </c>
      <c r="AL4" s="194">
        <f>IF(U4&lt;&gt;"",SUMPRODUCT((AF4:AF8=AF4)*(AA4:AA8=AA4)*(Y4:Y8=Y4)*(AC4:AC8=AC4)*(AD4:AD8=AD4)*(AE4:AE8&gt;AE4)),"")</f>
        <v>3</v>
      </c>
      <c r="AM4" s="194">
        <f>IF(U4&lt;&gt;"",IF(AM56&lt;&gt;"",IF(T55=3,AM56,AM56+T55),SUM(AG4:AL4)),"")</f>
        <v>4</v>
      </c>
      <c r="AN4" s="194" t="str">
        <f>IF(U4&lt;&gt;"",INDEX(U4:U8,MATCH(1,AM4:AM8,0),0),"")</f>
        <v>Palmeiras</v>
      </c>
      <c r="CW4" s="194" t="str">
        <f>IF(AN4&lt;&gt;"",AN4,N4)</f>
        <v>Palmeiras</v>
      </c>
      <c r="CX4" s="194">
        <v>1</v>
      </c>
      <c r="CY4" s="194">
        <v>2</v>
      </c>
      <c r="CZ4" s="194" t="str">
        <f>Matches!H5</f>
        <v>Bayern Munich</v>
      </c>
      <c r="DA4" s="194">
        <f>IF(CZ2&lt;&gt;"",IF(AND(Matches!J5&lt;&gt;"",Matches!K5&lt;&gt;""),Matches!J5,0),"")</f>
        <v>0</v>
      </c>
      <c r="DB4" s="194">
        <f>IF(CZ2&lt;&gt;"",IF(AND(Matches!J5&lt;&gt;"",Matches!K5&lt;&gt;""),Matches!K5,0),"")</f>
        <v>0</v>
      </c>
      <c r="DC4" s="194" t="str">
        <f>Matches!M5</f>
        <v>Auckland City</v>
      </c>
      <c r="DD4" s="194" t="str">
        <f>IF(AND(Matches!J5&lt;&gt;"",Matches!K5&lt;&gt;""),IF(DA4&gt;DB4,"W",IF(DA4=DB4,"D","L")),"")</f>
        <v/>
      </c>
      <c r="DE4" s="194" t="str">
        <f t="shared" ref="DE4:DE50" si="0">IF(DD4&lt;&gt;"",IF(DD4="W","L",IF(DD4="L","W","D")),"")</f>
        <v/>
      </c>
    </row>
    <row r="5" spans="1:134" x14ac:dyDescent="0.25">
      <c r="A5" s="194">
        <f>VLOOKUP(B5,CW4:CX8,2,FALSE)</f>
        <v>2</v>
      </c>
      <c r="B5" s="195" t="str">
        <f t="shared" ref="B5:B7" si="1">ED8</f>
        <v>Porto</v>
      </c>
      <c r="C5" s="194">
        <f>SUMPRODUCT((CZ3:CZ54=B5)*(DD3:DD54="W"))+SUMPRODUCT((DC3:DC54=B5)*(DE3:DE54="W"))</f>
        <v>0</v>
      </c>
      <c r="D5" s="194">
        <f>SUMPRODUCT((CZ3:CZ54=B5)*(DD3:DD54="D"))+SUMPRODUCT((DC3:DC54=B5)*(DE3:DE54="D"))</f>
        <v>0</v>
      </c>
      <c r="E5" s="194">
        <f>SUMPRODUCT((CZ3:CZ54=B5)*(DD3:DD54="L"))+SUMPRODUCT((DC3:DC54=B5)*(DE3:DE54="L"))</f>
        <v>0</v>
      </c>
      <c r="F5" s="194">
        <f>SUMIF(CZ3:CZ72,B5,DA3:DA72)+SUMIF(DC3:DC72,B5,DB3:DB72)</f>
        <v>0</v>
      </c>
      <c r="G5" s="194">
        <f>SUMIF(DC3:DC72,B5,DA3:DA72)+SUMIF(CZ3:CZ72,B5,DB3:DB72)</f>
        <v>0</v>
      </c>
      <c r="H5" s="194">
        <f t="shared" ref="H5:H7" si="2">F5-G5+1000</f>
        <v>1000</v>
      </c>
      <c r="I5" s="194">
        <f t="shared" ref="I5:I7" si="3">C5*3+D5*1</f>
        <v>0</v>
      </c>
      <c r="J5" s="194">
        <f>IF(Setup!G9&lt;&gt;"",Setup!G9,24)</f>
        <v>24</v>
      </c>
      <c r="K5" s="194">
        <f>IF(COUNTIF(I4:I8,4)&lt;&gt;4,RANK(I5,I4:I8),I57)</f>
        <v>1</v>
      </c>
      <c r="M5" s="194">
        <f>SUMPRODUCT((K4:K7=K5)*(J4:J7&lt;J5))+K5</f>
        <v>3</v>
      </c>
      <c r="N5" s="195" t="str">
        <f>INDEX(B4:B8,MATCH(2,M4:M8,0),0)</f>
        <v>Al Ahly</v>
      </c>
      <c r="O5" s="194">
        <f>INDEX(K4:K8,MATCH(N5,B4:B8,0),0)</f>
        <v>1</v>
      </c>
      <c r="P5" s="194" t="str">
        <f>IF(P4&lt;&gt;"",N5,"")</f>
        <v>Al Ahly</v>
      </c>
      <c r="Q5" s="194" t="str">
        <f>IF(Q4&lt;&gt;"",N6,"")</f>
        <v/>
      </c>
      <c r="R5" s="194" t="str">
        <f>IF(R4&lt;&gt;"",N7,"")</f>
        <v/>
      </c>
      <c r="S5" s="194" t="str">
        <f>IF(S4&lt;&gt;"",N8,"")</f>
        <v/>
      </c>
      <c r="U5" s="194" t="str">
        <f t="shared" ref="U5:U7" si="4">IF(P5&lt;&gt;"",P5,"")</f>
        <v>Al Ahly</v>
      </c>
      <c r="V5" s="194">
        <f>SUMPRODUCT((CZ3:CZ54=U5)*(DC3:DC54=U6)*(DD3:DD54="W"))+SUMPRODUCT((CZ3:CZ54=U5)*(DC3:DC54=U7)*(DD3:DD54="W"))+SUMPRODUCT((CZ3:CZ54=U5)*(DC3:DC54=U8)*(DD3:DD54="W"))+SUMPRODUCT((CZ3:CZ54=U5)*(DC3:DC54=U4)*(DD3:DD54="W"))+SUMPRODUCT((CZ3:CZ54=U6)*(DC3:DC54=U5)*(DE3:DE54="W"))+SUMPRODUCT((CZ3:CZ54=U7)*(DC3:DC54=U5)*(DE3:DE54="W"))+SUMPRODUCT((CZ3:CZ54=U8)*(DC3:DC54=U5)*(DE3:DE54="W"))+SUMPRODUCT((CZ3:CZ54=U4)*(DC3:DC54=U5)*(DE3:DE54="W"))</f>
        <v>0</v>
      </c>
      <c r="W5" s="194">
        <f>SUMPRODUCT((CZ3:CZ54=U5)*(DC3:DC54=U6)*(DD3:DD54="D"))+SUMPRODUCT((CZ3:CZ54=U5)*(DC3:DC54=U7)*(DD3:DD54="D"))+SUMPRODUCT((CZ3:CZ54=U5)*(DC3:DC54=U8)*(DD3:DD54="D"))+SUMPRODUCT((CZ3:CZ54=U5)*(DC3:DC54=U4)*(DD3:DD54="D"))+SUMPRODUCT((CZ3:CZ54=U6)*(DC3:DC54=U5)*(DD3:DD54="D"))+SUMPRODUCT((CZ3:CZ54=U7)*(DC3:DC54=U5)*(DD3:DD54="D"))+SUMPRODUCT((CZ3:CZ54=U8)*(DC3:DC54=U5)*(DD3:DD54="D"))+SUMPRODUCT((CZ3:CZ54=U4)*(DC3:DC54=U5)*(DD3:DD54="D"))</f>
        <v>0</v>
      </c>
      <c r="X5" s="194">
        <f>SUMPRODUCT((CZ3:CZ54=U5)*(DC3:DC54=U6)*(DD3:DD54="L"))+SUMPRODUCT((CZ3:CZ54=U5)*(DC3:DC54=U7)*(DD3:DD54="L"))+SUMPRODUCT((CZ3:CZ54=U5)*(DC3:DC54=U8)*(DD3:DD54="L"))+SUMPRODUCT((CZ3:CZ54=U5)*(DC3:DC54=U4)*(DD3:DD54="L"))+SUMPRODUCT((CZ3:CZ54=U6)*(DC3:DC54=U5)*(DE3:DE54="L"))+SUMPRODUCT((CZ3:CZ54=U7)*(DC3:DC54=U5)*(DE3:DE54="L"))+SUMPRODUCT((CZ3:CZ54=U8)*(DC3:DC54=U5)*(DE3:DE54="L"))+SUMPRODUCT((CZ3:CZ54=U4)*(DC3:DC54=U5)*(DE3:DE54="L"))</f>
        <v>0</v>
      </c>
      <c r="Y5" s="194">
        <f>SUMPRODUCT((CZ3:CZ54=U5)*(DC3:DC54=U6)*DA3:DA54)+SUMPRODUCT((CZ3:CZ54=U5)*(DC3:DC54=U7)*DA3:DA54)+SUMPRODUCT((CZ3:CZ54=U5)*(DC3:DC54=U8)*DA3:DA54)+SUMPRODUCT((CZ3:CZ54=U5)*(DC3:DC54=U4)*DA3:DA54)+SUMPRODUCT((CZ3:CZ54=U6)*(DC3:DC54=U5)*DB3:DB54)+SUMPRODUCT((CZ3:CZ54=U7)*(DC3:DC54=U5)*DB3:DB54)+SUMPRODUCT((CZ3:CZ54=U8)*(DC3:DC54=U5)*DB3:DB54)+SUMPRODUCT((CZ3:CZ54=U4)*(DC3:DC54=U5)*DB3:DB54)</f>
        <v>0</v>
      </c>
      <c r="Z5" s="194">
        <f>SUMPRODUCT((CZ3:CZ54=U5)*(DC3:DC54=U6)*DB3:DB54)+SUMPRODUCT((CZ3:CZ54=U5)*(DC3:DC54=U7)*DB3:DB54)+SUMPRODUCT((CZ3:CZ54=U5)*(DC3:DC54=U8)*DB3:DB54)+SUMPRODUCT((CZ3:CZ54=U5)*(DC3:DC54=U4)*DB3:DB54)+SUMPRODUCT((CZ3:CZ54=U6)*(DC3:DC54=U5)*DA3:DA54)+SUMPRODUCT((CZ3:CZ54=U7)*(DC3:DC54=U5)*DA3:DA54)+SUMPRODUCT((CZ3:CZ54=U8)*(DC3:DC54=U5)*DA3:DA54)+SUMPRODUCT((CZ3:CZ54=U4)*(DC3:DC54=U5)*DA3:DA54)</f>
        <v>0</v>
      </c>
      <c r="AA5" s="194">
        <f>Y5-Z5+1000</f>
        <v>1000</v>
      </c>
      <c r="AB5" s="194">
        <f t="shared" ref="AB5:AB7" si="5">IF(U5&lt;&gt;"",V5*3+W5*1,"")</f>
        <v>0</v>
      </c>
      <c r="AC5" s="194">
        <f>IF(U5&lt;&gt;"",VLOOKUP(U5,B4:H52,7,FALSE),"")</f>
        <v>1000</v>
      </c>
      <c r="AD5" s="194">
        <f>IF(U5&lt;&gt;"",VLOOKUP(U5,B4:H52,5,FALSE),"")</f>
        <v>0</v>
      </c>
      <c r="AE5" s="194">
        <f>IF(U5&lt;&gt;"",VLOOKUP(U5,B4:J52,9,FALSE),"")</f>
        <v>16</v>
      </c>
      <c r="AF5" s="194">
        <f t="shared" ref="AF5:AF7" si="6">AB5</f>
        <v>0</v>
      </c>
      <c r="AG5" s="194">
        <f>IF(U5&lt;&gt;"",RANK(AF5,AF4:AF8),"")</f>
        <v>1</v>
      </c>
      <c r="AH5" s="194">
        <f>IF(U5&lt;&gt;"",SUMPRODUCT((AF4:AF8=AF5)*(AA4:AA8&gt;AA5)),"")</f>
        <v>0</v>
      </c>
      <c r="AI5" s="194">
        <f>IF(U5&lt;&gt;"",SUMPRODUCT((AF4:AF8=AF5)*(AA4:AA8=AA5)*(Y4:Y8&gt;Y5)),"")</f>
        <v>0</v>
      </c>
      <c r="AJ5" s="194">
        <f>IF(U5&lt;&gt;"",SUMPRODUCT((AF4:AF8=AF5)*(AA4:AA8=AA5)*(Y4:Y8=Y5)*(AC4:AC8&gt;AC5)),"")</f>
        <v>0</v>
      </c>
      <c r="AK5" s="194">
        <f>IF(U5&lt;&gt;"",SUMPRODUCT((AF4:AF8=AF5)*(AA4:AA8=AA5)*(Y4:Y8=Y5)*(AC4:AC8=AC5)*(AD4:AD8&gt;AD5)),"")</f>
        <v>0</v>
      </c>
      <c r="AL5" s="194">
        <f>IF(U5&lt;&gt;"",SUMPRODUCT((AF4:AF8=AF5)*(AA4:AA8=AA5)*(Y4:Y8=Y5)*(AC4:AC8=AC5)*(AD4:AD8=AD5)*(AE4:AE8&gt;AE5)),"")</f>
        <v>2</v>
      </c>
      <c r="AM5" s="194">
        <f>IF(U5&lt;&gt;"",IF(AM57&lt;&gt;"",IF(T55=3,AM57,AM57+T55),SUM(AG5:AL5)),"")</f>
        <v>3</v>
      </c>
      <c r="AN5" s="194" t="str">
        <f>IF(U5&lt;&gt;"",INDEX(U4:U8,MATCH(2,AM4:AM8,0),0),"")</f>
        <v>Porto</v>
      </c>
      <c r="AO5" s="194" t="str">
        <f>IF(Q4&lt;&gt;"",Q4,"")</f>
        <v/>
      </c>
      <c r="AP5" s="194">
        <f>SUMPRODUCT((CZ3:CZ54=AO5)*(DC3:DC54=AO6)*(DD3:DD54="W"))+SUMPRODUCT((CZ3:CZ54=AO5)*(DC3:DC54=AO7)*(DD3:DD54="W"))+SUMPRODUCT((CZ3:CZ54=AO5)*(DC3:DC54=AO8)*(DD3:DD54="W"))+SUMPRODUCT((CZ3:CZ54=AO6)*(DC3:DC54=AO5)*(DE3:DE54="W"))+SUMPRODUCT((CZ3:CZ54=AO7)*(DC3:DC54=AO5)*(DE3:DE54="W"))+SUMPRODUCT((CZ3:CZ54=AO8)*(DC3:DC54=AO5)*(DE3:DE54="W"))</f>
        <v>0</v>
      </c>
      <c r="AQ5" s="194">
        <f>SUMPRODUCT((CZ3:CZ54=AO5)*(DC3:DC54=AO6)*(DD3:DD54="D"))+SUMPRODUCT((CZ3:CZ54=AO5)*(DC3:DC54=AO7)*(DD3:DD54="D"))+SUMPRODUCT((CZ3:CZ54=AO5)*(DC3:DC54=AO8)*(DD3:DD54="D"))+SUMPRODUCT((CZ3:CZ54=AO6)*(DC3:DC54=AO5)*(DD3:DD54="D"))+SUMPRODUCT((CZ3:CZ54=AO7)*(DC3:DC54=AO5)*(DD3:DD54="D"))+SUMPRODUCT((CZ3:CZ54=AO8)*(DC3:DC54=AO5)*(DD3:DD54="D"))</f>
        <v>0</v>
      </c>
      <c r="AR5" s="194">
        <f>SUMPRODUCT((CZ3:CZ54=AO5)*(DC3:DC54=AO6)*(DD3:DD54="L"))+SUMPRODUCT((CZ3:CZ54=AO5)*(DC3:DC54=AO7)*(DD3:DD54="L"))+SUMPRODUCT((CZ3:CZ54=AO5)*(DC3:DC54=AO8)*(DD3:DD54="L"))+SUMPRODUCT((CZ3:CZ54=AO6)*(DC3:DC54=AO5)*(DE3:DE54="L"))+SUMPRODUCT((CZ3:CZ54=AO7)*(DC3:DC54=AO5)*(DE3:DE54="L"))+SUMPRODUCT((CZ3:CZ54=AO8)*(DC3:DC54=AO5)*(DE3:DE54="L"))</f>
        <v>0</v>
      </c>
      <c r="AS5" s="194">
        <f>SUMPRODUCT((CZ3:CZ54=AO5)*(DC3:DC54=AO6)*DA3:DA54)+SUMPRODUCT((CZ3:CZ54=AO5)*(DC3:DC54=AO7)*DA3:DA54)+SUMPRODUCT((CZ3:CZ54=AO5)*(DC3:DC54=AO8)*DA3:DA54)+SUMPRODUCT((CZ3:CZ54=AO5)*(DC3:DC54=AO4)*DA3:DA54)+SUMPRODUCT((CZ3:CZ54=AO6)*(DC3:DC54=AO5)*DB3:DB54)+SUMPRODUCT((CZ3:CZ54=AO7)*(DC3:DC54=AO5)*DB3:DB54)+SUMPRODUCT((CZ3:CZ54=AO8)*(DC3:DC54=AO5)*DB3:DB54)+SUMPRODUCT((CZ3:CZ54=AO4)*(DC3:DC54=AO5)*DB3:DB54)</f>
        <v>0</v>
      </c>
      <c r="AT5" s="194">
        <f>SUMPRODUCT((CZ3:CZ54=AO5)*(DC3:DC54=AO6)*DB3:DB54)+SUMPRODUCT((CZ3:CZ54=AO5)*(DC3:DC54=AO7)*DB3:DB54)+SUMPRODUCT((CZ3:CZ54=AO5)*(DC3:DC54=AO8)*DB3:DB54)+SUMPRODUCT((CZ3:CZ54=AO5)*(DC3:DC54=AO4)*DB3:DB54)+SUMPRODUCT((CZ3:CZ54=AO6)*(DC3:DC54=AO5)*DA3:DA54)+SUMPRODUCT((CZ3:CZ54=AO7)*(DC3:DC54=AO5)*DA3:DA54)+SUMPRODUCT((CZ3:CZ54=AO8)*(DC3:DC54=AO5)*DA3:DA54)+SUMPRODUCT((CZ3:CZ54=AO4)*(DC3:DC54=AO5)*DA3:DA54)</f>
        <v>0</v>
      </c>
      <c r="AU5" s="194">
        <f>AS5-AT5+1000</f>
        <v>1000</v>
      </c>
      <c r="AV5" s="194" t="str">
        <f t="shared" ref="AV5:AV7" si="7">IF(AO5&lt;&gt;"",AP5*3+AQ5*1,"")</f>
        <v/>
      </c>
      <c r="AW5" s="194" t="str">
        <f>IF(AO5&lt;&gt;"",VLOOKUP(AO5,B4:H52,7,FALSE),"")</f>
        <v/>
      </c>
      <c r="AX5" s="194" t="str">
        <f>IF(AO5&lt;&gt;"",VLOOKUP(AO5,B4:H52,5,FALSE),"")</f>
        <v/>
      </c>
      <c r="AY5" s="194" t="str">
        <f>IF(AO5&lt;&gt;"",VLOOKUP(AO5,B4:J52,9,FALSE),"")</f>
        <v/>
      </c>
      <c r="AZ5" s="194" t="str">
        <f t="shared" ref="AZ5:AZ7" si="8">AV5</f>
        <v/>
      </c>
      <c r="BA5" s="194" t="str">
        <f>IF(AO5&lt;&gt;"",RANK(AZ5,AZ4:AZ8),"")</f>
        <v/>
      </c>
      <c r="BB5" s="194" t="str">
        <f>IF(AO5&lt;&gt;"",SUMPRODUCT((AZ4:AZ8=AZ5)*(AU4:AU8&gt;AU5)),"")</f>
        <v/>
      </c>
      <c r="BC5" s="194" t="str">
        <f>IF(AO5&lt;&gt;"",SUMPRODUCT((AZ4:AZ8=AZ5)*(AU4:AU8=AU5)*(AS4:AS8&gt;AS5)),"")</f>
        <v/>
      </c>
      <c r="BD5" s="194" t="str">
        <f>IF(AO5&lt;&gt;"",SUMPRODUCT((AZ4:AZ8=AZ5)*(AU4:AU8=AU5)*(AS4:AS8=AS5)*(AW4:AW8&gt;AW5)),"")</f>
        <v/>
      </c>
      <c r="BE5" s="194" t="str">
        <f>IF(AO5&lt;&gt;"",SUMPRODUCT((AZ4:AZ8=AZ5)*(AU4:AU8=AU5)*(AS4:AS8=AS5)*(AW4:AW8=AW5)*(AX4:AX8&gt;AX5)),"")</f>
        <v/>
      </c>
      <c r="BF5" s="194" t="str">
        <f>IF(AO5&lt;&gt;"",SUMPRODUCT((AZ4:AZ8=AZ5)*(AU4:AU8=AU5)*(AS4:AS8=AS5)*(AW4:AW8=AW5)*(AX4:AX8=AX5)*(AY4:AY8&gt;AY5)),"")</f>
        <v/>
      </c>
      <c r="BG5" s="194" t="str">
        <f>IF(AO5&lt;&gt;"",IF(BG57&lt;&gt;"",IF(AN55=3,BG57,BG57+AN55),SUM(BA5:BF5)+1),"")</f>
        <v/>
      </c>
      <c r="BH5" s="194" t="str">
        <f>IF(AO5&lt;&gt;"",INDEX(AO5:AO8,MATCH(2,BG5:BG8,0),0),"")</f>
        <v/>
      </c>
      <c r="CW5" s="194" t="str">
        <f>IF(BH5&lt;&gt;"",BH5,IF(AN5&lt;&gt;"",AN5,N5))</f>
        <v>Porto</v>
      </c>
      <c r="CX5" s="194">
        <v>2</v>
      </c>
      <c r="CY5" s="194">
        <v>3</v>
      </c>
      <c r="CZ5" s="194" t="str">
        <f>Matches!H6</f>
        <v>Paris Saint-Germain</v>
      </c>
      <c r="DA5" s="194">
        <f>IF(CZ2&lt;&gt;"",IF(AND(Matches!J6&lt;&gt;"",Matches!K6&lt;&gt;""),Matches!J6,0),"")</f>
        <v>0</v>
      </c>
      <c r="DB5" s="194">
        <f>IF(CZ2&lt;&gt;"",IF(AND(Matches!J6&lt;&gt;"",Matches!K6&lt;&gt;""),Matches!K6,0),"")</f>
        <v>0</v>
      </c>
      <c r="DC5" s="194" t="str">
        <f>Matches!M6</f>
        <v>Atletico Madrid</v>
      </c>
      <c r="DD5" s="194" t="str">
        <f>IF(AND(Matches!J6&lt;&gt;"",Matches!K6&lt;&gt;""),IF(DA5&gt;DB5,"W",IF(DA5=DB5,"D","L")),"")</f>
        <v/>
      </c>
      <c r="DE5" s="194" t="str">
        <f t="shared" si="0"/>
        <v/>
      </c>
    </row>
    <row r="6" spans="1:134" x14ac:dyDescent="0.25">
      <c r="A6" s="194">
        <f>VLOOKUP(B6,CW4:CX8,2,FALSE)</f>
        <v>3</v>
      </c>
      <c r="B6" s="195" t="str">
        <f t="shared" si="1"/>
        <v>Al Ahly</v>
      </c>
      <c r="C6" s="194">
        <f>SUMPRODUCT((CZ3:CZ54=B6)*(DD3:DD54="W"))+SUMPRODUCT((DC3:DC54=B6)*(DE3:DE54="W"))</f>
        <v>0</v>
      </c>
      <c r="D6" s="194">
        <f>SUMPRODUCT((CZ3:CZ54=B6)*(DD3:DD54="D"))+SUMPRODUCT((DC3:DC54=B6)*(DE3:DE54="D"))</f>
        <v>0</v>
      </c>
      <c r="E6" s="194">
        <f>SUMPRODUCT((CZ3:CZ54=B6)*(DD3:DD54="L"))+SUMPRODUCT((DC3:DC54=B6)*(DE3:DE54="L"))</f>
        <v>0</v>
      </c>
      <c r="F6" s="194">
        <f>SUMIF(CZ3:CZ72,B6,DA3:DA72)+SUMIF(DC3:DC72,B6,DB3:DB72)</f>
        <v>0</v>
      </c>
      <c r="G6" s="194">
        <f>SUMIF(DC3:DC72,B6,DA3:DA72)+SUMIF(CZ3:CZ72,B6,DB3:DB72)</f>
        <v>0</v>
      </c>
      <c r="H6" s="194">
        <f t="shared" si="2"/>
        <v>1000</v>
      </c>
      <c r="I6" s="194">
        <f t="shared" si="3"/>
        <v>0</v>
      </c>
      <c r="J6" s="194">
        <f>IF(Setup!G10&lt;&gt;"",Setup!G10,16)</f>
        <v>16</v>
      </c>
      <c r="K6" s="194">
        <f>IF(COUNTIF(I4:I8,4)&lt;&gt;4,RANK(I6,I4:I8),I58)</f>
        <v>1</v>
      </c>
      <c r="M6" s="194">
        <f>SUMPRODUCT((K4:K7=K6)*(J4:J7&lt;J6))+K6</f>
        <v>2</v>
      </c>
      <c r="N6" s="195" t="str">
        <f>INDEX(B4:B8,MATCH(3,M4:M8,0),0)</f>
        <v>Porto</v>
      </c>
      <c r="O6" s="194">
        <f>INDEX(K4:K8,MATCH(N6,B4:B8,0),0)</f>
        <v>1</v>
      </c>
      <c r="P6" s="194" t="str">
        <f>IF(AND(P5&lt;&gt;"",O6=1),N6,"")</f>
        <v>Porto</v>
      </c>
      <c r="Q6" s="194" t="str">
        <f>IF(AND(Q5&lt;&gt;"",O7=2),N7,"")</f>
        <v/>
      </c>
      <c r="R6" s="194" t="str">
        <f>IF(AND(R5&lt;&gt;"",O8=3),N8,"")</f>
        <v/>
      </c>
      <c r="U6" s="194" t="str">
        <f t="shared" si="4"/>
        <v>Porto</v>
      </c>
      <c r="V6" s="194">
        <f>SUMPRODUCT((CZ3:CZ54=U6)*(DC3:DC54=U7)*(DD3:DD54="W"))+SUMPRODUCT((CZ3:CZ54=U6)*(DC3:DC54=U8)*(DD3:DD54="W"))+SUMPRODUCT((CZ3:CZ54=U6)*(DC3:DC54=U4)*(DD3:DD54="W"))+SUMPRODUCT((CZ3:CZ54=U6)*(DC3:DC54=U5)*(DD3:DD54="W"))+SUMPRODUCT((CZ3:CZ54=U7)*(DC3:DC54=U6)*(DE3:DE54="W"))+SUMPRODUCT((CZ3:CZ54=U8)*(DC3:DC54=U6)*(DE3:DE54="W"))+SUMPRODUCT((CZ3:CZ54=U4)*(DC3:DC54=U6)*(DE3:DE54="W"))+SUMPRODUCT((CZ3:CZ54=U5)*(DC3:DC54=U6)*(DE3:DE54="W"))</f>
        <v>0</v>
      </c>
      <c r="W6" s="194">
        <f>SUMPRODUCT((CZ3:CZ54=U6)*(DC3:DC54=U7)*(DD3:DD54="D"))+SUMPRODUCT((CZ3:CZ54=U6)*(DC3:DC54=U8)*(DD3:DD54="D"))+SUMPRODUCT((CZ3:CZ54=U6)*(DC3:DC54=U4)*(DD3:DD54="D"))+SUMPRODUCT((CZ3:CZ54=U6)*(DC3:DC54=U5)*(DD3:DD54="D"))+SUMPRODUCT((CZ3:CZ54=U7)*(DC3:DC54=U6)*(DD3:DD54="D"))+SUMPRODUCT((CZ3:CZ54=U8)*(DC3:DC54=U6)*(DD3:DD54="D"))+SUMPRODUCT((CZ3:CZ54=U4)*(DC3:DC54=U6)*(DD3:DD54="D"))+SUMPRODUCT((CZ3:CZ54=U5)*(DC3:DC54=U6)*(DD3:DD54="D"))</f>
        <v>0</v>
      </c>
      <c r="X6" s="194">
        <f>SUMPRODUCT((CZ3:CZ54=U6)*(DC3:DC54=U7)*(DD3:DD54="L"))+SUMPRODUCT((CZ3:CZ54=U6)*(DC3:DC54=U8)*(DD3:DD54="L"))+SUMPRODUCT((CZ3:CZ54=U6)*(DC3:DC54=U4)*(DD3:DD54="L"))+SUMPRODUCT((CZ3:CZ54=U6)*(DC3:DC54=U5)*(DD3:DD54="L"))+SUMPRODUCT((CZ3:CZ54=U7)*(DC3:DC54=U6)*(DE3:DE54="L"))+SUMPRODUCT((CZ3:CZ54=U8)*(DC3:DC54=U6)*(DE3:DE54="L"))+SUMPRODUCT((CZ3:CZ54=U4)*(DC3:DC54=U6)*(DE3:DE54="L"))+SUMPRODUCT((CZ3:CZ54=U5)*(DC3:DC54=U6)*(DE3:DE54="L"))</f>
        <v>0</v>
      </c>
      <c r="Y6" s="194">
        <f>SUMPRODUCT((CZ3:CZ54=U6)*(DC3:DC54=U7)*DA3:DA54)+SUMPRODUCT((CZ3:CZ54=U6)*(DC3:DC54=U8)*DA3:DA54)+SUMPRODUCT((CZ3:CZ54=U6)*(DC3:DC54=U4)*DA3:DA54)+SUMPRODUCT((CZ3:CZ54=U6)*(DC3:DC54=U5)*DA3:DA54)+SUMPRODUCT((CZ3:CZ54=U7)*(DC3:DC54=U6)*DB3:DB54)+SUMPRODUCT((CZ3:CZ54=U8)*(DC3:DC54=U6)*DB3:DB54)+SUMPRODUCT((CZ3:CZ54=U4)*(DC3:DC54=U6)*DB3:DB54)+SUMPRODUCT((CZ3:CZ54=U5)*(DC3:DC54=U6)*DB3:DB54)</f>
        <v>0</v>
      </c>
      <c r="Z6" s="194">
        <f>SUMPRODUCT((CZ3:CZ54=U6)*(DC3:DC54=U7)*DB3:DB54)+SUMPRODUCT((CZ3:CZ54=U6)*(DC3:DC54=U8)*DB3:DB54)+SUMPRODUCT((CZ3:CZ54=U6)*(DC3:DC54=U4)*DB3:DB54)+SUMPRODUCT((CZ3:CZ54=U6)*(DC3:DC54=U5)*DB3:DB54)+SUMPRODUCT((CZ3:CZ54=U7)*(DC3:DC54=U6)*DA3:DA54)+SUMPRODUCT((CZ3:CZ54=U8)*(DC3:DC54=U6)*DA3:DA54)+SUMPRODUCT((CZ3:CZ54=U4)*(DC3:DC54=U6)*DA3:DA54)+SUMPRODUCT((CZ3:CZ54=U5)*(DC3:DC54=U6)*DA3:DA54)</f>
        <v>0</v>
      </c>
      <c r="AA6" s="194">
        <f>Y6-Z6+1000</f>
        <v>1000</v>
      </c>
      <c r="AB6" s="194">
        <f t="shared" si="5"/>
        <v>0</v>
      </c>
      <c r="AC6" s="194">
        <f>IF(U6&lt;&gt;"",VLOOKUP(U6,B4:H52,7,FALSE),"")</f>
        <v>1000</v>
      </c>
      <c r="AD6" s="194">
        <f>IF(U6&lt;&gt;"",VLOOKUP(U6,B4:H52,5,FALSE),"")</f>
        <v>0</v>
      </c>
      <c r="AE6" s="194">
        <f>IF(U6&lt;&gt;"",VLOOKUP(U6,B4:J52,9,FALSE),"")</f>
        <v>24</v>
      </c>
      <c r="AF6" s="194">
        <f t="shared" si="6"/>
        <v>0</v>
      </c>
      <c r="AG6" s="194">
        <f>IF(U6&lt;&gt;"",RANK(AF6,AF4:AF8),"")</f>
        <v>1</v>
      </c>
      <c r="AH6" s="194">
        <f>IF(U6&lt;&gt;"",SUMPRODUCT((AF4:AF8=AF6)*(AA4:AA8&gt;AA6)),"")</f>
        <v>0</v>
      </c>
      <c r="AI6" s="194">
        <f>IF(U6&lt;&gt;"",SUMPRODUCT((AF4:AF8=AF6)*(AA4:AA8=AA6)*(Y4:Y8&gt;Y6)),"")</f>
        <v>0</v>
      </c>
      <c r="AJ6" s="194">
        <f>IF(U6&lt;&gt;"",SUMPRODUCT((AF4:AF8=AF6)*(AA4:AA8=AA6)*(Y4:Y8=Y6)*(AC4:AC8&gt;AC6)),"")</f>
        <v>0</v>
      </c>
      <c r="AK6" s="194">
        <f>IF(U6&lt;&gt;"",SUMPRODUCT((AF4:AF8=AF6)*(AA4:AA8=AA6)*(Y4:Y8=Y6)*(AC4:AC8=AC6)*(AD4:AD8&gt;AD6)),"")</f>
        <v>0</v>
      </c>
      <c r="AL6" s="194">
        <f>IF(U6&lt;&gt;"",SUMPRODUCT((AF4:AF8=AF6)*(AA4:AA8=AA6)*(Y4:Y8=Y6)*(AC4:AC8=AC6)*(AD4:AD8=AD6)*(AE4:AE8&gt;AE6)),"")</f>
        <v>1</v>
      </c>
      <c r="AM6" s="194">
        <f>IF(U6&lt;&gt;"",IF(AM58&lt;&gt;"",IF(T55=3,AM58,AM58+T55),SUM(AG6:AL6)),"")</f>
        <v>2</v>
      </c>
      <c r="AN6" s="194" t="str">
        <f>IF(U6&lt;&gt;"",INDEX(U4:U8,MATCH(3,AM4:AM8,0),0),"")</f>
        <v>Al Ahly</v>
      </c>
      <c r="AO6" s="194" t="str">
        <f>IF(Q5&lt;&gt;"",Q5,"")</f>
        <v/>
      </c>
      <c r="AP6" s="194">
        <f>SUMPRODUCT((CZ3:CZ54=AO6)*(DC3:DC54=AO7)*(DD3:DD54="W"))+SUMPRODUCT((CZ3:CZ54=AO6)*(DC3:DC54=AO8)*(DD3:DD54="W"))+SUMPRODUCT((CZ3:CZ54=AO6)*(DC3:DC54=AO5)*(DD3:DD54="W"))+SUMPRODUCT((CZ3:CZ54=AO7)*(DC3:DC54=AO6)*(DE3:DE54="W"))+SUMPRODUCT((CZ3:CZ54=AO8)*(DC3:DC54=AO6)*(DE3:DE54="W"))+SUMPRODUCT((CZ3:CZ54=AO5)*(DC3:DC54=AO6)*(DE3:DE54="W"))</f>
        <v>0</v>
      </c>
      <c r="AQ6" s="194">
        <f>SUMPRODUCT((CZ3:CZ54=AO6)*(DC3:DC54=AO7)*(DD3:DD54="D"))+SUMPRODUCT((CZ3:CZ54=AO6)*(DC3:DC54=AO8)*(DD3:DD54="D"))+SUMPRODUCT((CZ3:CZ54=AO6)*(DC3:DC54=AO5)*(DD3:DD54="D"))+SUMPRODUCT((CZ3:CZ54=AO7)*(DC3:DC54=AO6)*(DD3:DD54="D"))+SUMPRODUCT((CZ3:CZ54=AO8)*(DC3:DC54=AO6)*(DD3:DD54="D"))+SUMPRODUCT((CZ3:CZ54=AO5)*(DC3:DC54=AO6)*(DD3:DD54="D"))</f>
        <v>0</v>
      </c>
      <c r="AR6" s="194">
        <f>SUMPRODUCT((CZ3:CZ54=AO6)*(DC3:DC54=AO7)*(DD3:DD54="L"))+SUMPRODUCT((CZ3:CZ54=AO6)*(DC3:DC54=AO8)*(DD3:DD54="L"))+SUMPRODUCT((CZ3:CZ54=AO6)*(DC3:DC54=AO5)*(DD3:DD54="L"))+SUMPRODUCT((CZ3:CZ54=AO7)*(DC3:DC54=AO6)*(DE3:DE54="L"))+SUMPRODUCT((CZ3:CZ54=AO8)*(DC3:DC54=AO6)*(DE3:DE54="L"))+SUMPRODUCT((CZ3:CZ54=AO5)*(DC3:DC54=AO6)*(DE3:DE54="L"))</f>
        <v>0</v>
      </c>
      <c r="AS6" s="194">
        <f>SUMPRODUCT((CZ3:CZ54=AO6)*(DC3:DC54=AO7)*DA3:DA54)+SUMPRODUCT((CZ3:CZ54=AO6)*(DC3:DC54=AO8)*DA3:DA54)+SUMPRODUCT((CZ3:CZ54=AO6)*(DC3:DC54=AO4)*DA3:DA54)+SUMPRODUCT((CZ3:CZ54=AO6)*(DC3:DC54=AO5)*DA3:DA54)+SUMPRODUCT((CZ3:CZ54=AO7)*(DC3:DC54=AO6)*DB3:DB54)+SUMPRODUCT((CZ3:CZ54=AO8)*(DC3:DC54=AO6)*DB3:DB54)+SUMPRODUCT((CZ3:CZ54=AO4)*(DC3:DC54=AO6)*DB3:DB54)+SUMPRODUCT((CZ3:CZ54=AO5)*(DC3:DC54=AO6)*DB3:DB54)</f>
        <v>0</v>
      </c>
      <c r="AT6" s="194">
        <f>SUMPRODUCT((CZ3:CZ54=AO6)*(DC3:DC54=AO7)*DB3:DB54)+SUMPRODUCT((CZ3:CZ54=AO6)*(DC3:DC54=AO8)*DB3:DB54)+SUMPRODUCT((CZ3:CZ54=AO6)*(DC3:DC54=AO4)*DB3:DB54)+SUMPRODUCT((CZ3:CZ54=AO6)*(DC3:DC54=AO5)*DB3:DB54)+SUMPRODUCT((CZ3:CZ54=AO7)*(DC3:DC54=AO6)*DA3:DA54)+SUMPRODUCT((CZ3:CZ54=AO8)*(DC3:DC54=AO6)*DA3:DA54)+SUMPRODUCT((CZ3:CZ54=AO4)*(DC3:DC54=AO6)*DA3:DA54)+SUMPRODUCT((CZ3:CZ54=AO5)*(DC3:DC54=AO6)*DA3:DA54)</f>
        <v>0</v>
      </c>
      <c r="AU6" s="194">
        <f>AS6-AT6+1000</f>
        <v>1000</v>
      </c>
      <c r="AV6" s="194" t="str">
        <f t="shared" si="7"/>
        <v/>
      </c>
      <c r="AW6" s="194" t="str">
        <f>IF(AO6&lt;&gt;"",VLOOKUP(AO6,B4:H52,7,FALSE),"")</f>
        <v/>
      </c>
      <c r="AX6" s="194" t="str">
        <f>IF(AO6&lt;&gt;"",VLOOKUP(AO6,B4:H52,5,FALSE),"")</f>
        <v/>
      </c>
      <c r="AY6" s="194" t="str">
        <f>IF(AO6&lt;&gt;"",VLOOKUP(AO6,B4:J52,9,FALSE),"")</f>
        <v/>
      </c>
      <c r="AZ6" s="194" t="str">
        <f t="shared" si="8"/>
        <v/>
      </c>
      <c r="BA6" s="194" t="str">
        <f>IF(AO6&lt;&gt;"",RANK(AZ6,AZ4:AZ8),"")</f>
        <v/>
      </c>
      <c r="BB6" s="194" t="str">
        <f>IF(AO6&lt;&gt;"",SUMPRODUCT((AZ4:AZ8=AZ6)*(AU4:AU8&gt;AU6)),"")</f>
        <v/>
      </c>
      <c r="BC6" s="194" t="str">
        <f>IF(AO6&lt;&gt;"",SUMPRODUCT((AZ4:AZ8=AZ6)*(AU4:AU8=AU6)*(AS4:AS8&gt;AS6)),"")</f>
        <v/>
      </c>
      <c r="BD6" s="194" t="str">
        <f>IF(AO6&lt;&gt;"",SUMPRODUCT((AZ4:AZ8=AZ6)*(AU4:AU8=AU6)*(AS4:AS8=AS6)*(AW4:AW8&gt;AW6)),"")</f>
        <v/>
      </c>
      <c r="BE6" s="194" t="str">
        <f>IF(AO6&lt;&gt;"",SUMPRODUCT((AZ4:AZ8=AZ6)*(AU4:AU8=AU6)*(AS4:AS8=AS6)*(AW4:AW8=AW6)*(AX4:AX8&gt;AX6)),"")</f>
        <v/>
      </c>
      <c r="BF6" s="194" t="str">
        <f>IF(AO6&lt;&gt;"",SUMPRODUCT((AZ4:AZ8=AZ6)*(AU4:AU8=AU6)*(AS4:AS8=AS6)*(AW4:AW8=AW6)*(AX4:AX8=AX6)*(AY4:AY8&gt;AY6)),"")</f>
        <v/>
      </c>
      <c r="BG6" s="194" t="str">
        <f>IF(AO6&lt;&gt;"",IF(BG58&lt;&gt;"",IF(AN55=3,BG58,BG58+AN55),SUM(BA6:BF6)+1),"")</f>
        <v/>
      </c>
      <c r="BH6" s="194" t="str">
        <f>IF(AO6&lt;&gt;"",INDEX(AO5:AO8,MATCH(3,BG5:BG8,0),0),"")</f>
        <v/>
      </c>
      <c r="BI6" s="194" t="str">
        <f>IF(R4&lt;&gt;"",R4,"")</f>
        <v/>
      </c>
      <c r="BJ6" s="194">
        <f>SUMPRODUCT((CZ3:CZ54=BI6)*(DC3:DC54=BI7)*(DD3:DD54="W"))+SUMPRODUCT((CZ3:CZ54=BI6)*(DC3:DC54=BI8)*(DD3:DD54="W"))+SUMPRODUCT((CZ3:CZ54=BI6)*(DC3:DC54=BI9)*(DD3:DD54="W"))+SUMPRODUCT((CZ3:CZ54=BI7)*(DC3:DC54=BI6)*(DE3:DE54="W"))+SUMPRODUCT((CZ3:CZ54=BI8)*(DC3:DC54=BI6)*(DE3:DE54="W"))+SUMPRODUCT((CZ3:CZ54=BI9)*(DC3:DC54=BI6)*(DE3:DE54="W"))</f>
        <v>0</v>
      </c>
      <c r="BK6" s="194">
        <f>SUMPRODUCT((CZ3:CZ54=BI6)*(DC3:DC54=BI7)*(DD3:DD54="D"))+SUMPRODUCT((CZ3:CZ54=BI6)*(DC3:DC54=BI8)*(DD3:DD54="D"))+SUMPRODUCT((CZ3:CZ54=BI6)*(DC3:DC54=BI9)*(DD3:DD54="D"))+SUMPRODUCT((CZ3:CZ54=BI7)*(DC3:DC54=BI6)*(DD3:DD54="D"))+SUMPRODUCT((CZ3:CZ54=BI8)*(DC3:DC54=BI6)*(DD3:DD54="D"))+SUMPRODUCT((CZ3:CZ54=BI9)*(DC3:DC54=BI6)*(DD3:DD54="D"))</f>
        <v>0</v>
      </c>
      <c r="BL6" s="194">
        <f>SUMPRODUCT((CZ3:CZ54=BI6)*(DC3:DC54=BI7)*(DD3:DD54="L"))+SUMPRODUCT((CZ3:CZ54=BI6)*(DC3:DC54=BI8)*(DD3:DD54="L"))+SUMPRODUCT((CZ3:CZ54=BI6)*(DC3:DC54=BI9)*(DD3:DD54="L"))+SUMPRODUCT((CZ3:CZ54=BI7)*(DC3:DC54=BI6)*(DE3:DE54="L"))+SUMPRODUCT((CZ3:CZ54=BI8)*(DC3:DC54=BI6)*(DE3:DE54="L"))+SUMPRODUCT((CZ3:CZ54=BI9)*(DC3:DC54=BI6)*(DE3:DE54="L"))</f>
        <v>0</v>
      </c>
      <c r="BM6" s="194">
        <f>SUMPRODUCT((CZ3:CZ54=BI6)*(DC3:DC54=BI7)*DA3:DA54)+SUMPRODUCT((CZ3:CZ54=BI6)*(DC3:DC54=BI8)*DA3:DA54)+SUMPRODUCT((CZ3:CZ54=BI6)*(DC3:DC54=BI4)*DA3:DA54)+SUMPRODUCT((CZ3:CZ54=BI6)*(DC3:DC54=BI5)*DA3:DA54)+SUMPRODUCT((CZ3:CZ54=BI7)*(DC3:DC54=BI6)*DB3:DB54)+SUMPRODUCT((CZ3:CZ54=BI8)*(DC3:DC54=BI6)*DB3:DB54)+SUMPRODUCT((CZ3:CZ54=BI4)*(DC3:DC54=BI6)*DB3:DB54)+SUMPRODUCT((CZ3:CZ54=BI5)*(DC3:DC54=BI6)*DB3:DB54)</f>
        <v>0</v>
      </c>
      <c r="BN6" s="194">
        <f>SUMPRODUCT((CZ3:CZ54=BI6)*(DC3:DC54=BI7)*DB3:DB54)+SUMPRODUCT((CZ3:CZ54=BI6)*(DC3:DC54=BI8)*DB3:DB54)+SUMPRODUCT((CZ3:CZ54=BI6)*(DC3:DC54=BI4)*DB3:DB54)+SUMPRODUCT((CZ3:CZ54=BI6)*(DC3:DC54=BI5)*DB3:DB54)+SUMPRODUCT((CZ3:CZ54=BI7)*(DC3:DC54=BI6)*DA3:DA54)+SUMPRODUCT((CZ3:CZ54=BI8)*(DC3:DC54=BI6)*DA3:DA54)+SUMPRODUCT((CZ3:CZ54=BI4)*(DC3:DC54=BI6)*DA3:DA54)+SUMPRODUCT((CZ3:CZ54=BI5)*(DC3:DC54=BI6)*DA3:DA54)</f>
        <v>0</v>
      </c>
      <c r="BO6" s="194">
        <f>BM6-BN6+1000</f>
        <v>1000</v>
      </c>
      <c r="BP6" s="194" t="str">
        <f t="shared" ref="BP6:BP7" si="9">IF(BI6&lt;&gt;"",BJ6*3+BK6*1,"")</f>
        <v/>
      </c>
      <c r="BQ6" s="194" t="str">
        <f>IF(BI6&lt;&gt;"",VLOOKUP(BI6,B4:H52,7,FALSE),"")</f>
        <v/>
      </c>
      <c r="BR6" s="194" t="str">
        <f>IF(BI6&lt;&gt;"",VLOOKUP(BI6,B4:H52,5,FALSE),"")</f>
        <v/>
      </c>
      <c r="BS6" s="194" t="str">
        <f>IF(BI6&lt;&gt;"",VLOOKUP(BI6,B4:J52,9,FALSE),"")</f>
        <v/>
      </c>
      <c r="BT6" s="194" t="str">
        <f t="shared" ref="BT6:BT7" si="10">BP6</f>
        <v/>
      </c>
      <c r="BU6" s="194" t="str">
        <f>IF(BI6&lt;&gt;"",RANK(BT6,BT4:BT8),"")</f>
        <v/>
      </c>
      <c r="BV6" s="194" t="str">
        <f>IF(BI6&lt;&gt;"",SUMPRODUCT((BT4:BT8=BT6)*(BO4:BO8&gt;BO6)),"")</f>
        <v/>
      </c>
      <c r="BW6" s="194" t="str">
        <f>IF(BI6&lt;&gt;"",SUMPRODUCT((BT4:BT8=BT6)*(BO4:BO8=BO6)*(BM4:BM8&gt;BM6)),"")</f>
        <v/>
      </c>
      <c r="BX6" s="194" t="str">
        <f>IF(BI6&lt;&gt;"",SUMPRODUCT((BT4:BT8=BT6)*(BO4:BO8=BO6)*(BM4:BM8=BM6)*(BQ4:BQ8&gt;BQ6)),"")</f>
        <v/>
      </c>
      <c r="BY6" s="194" t="str">
        <f>IF(BI6&lt;&gt;"",SUMPRODUCT((BT4:BT8=BT6)*(BO4:BO8=BO6)*(BM4:BM8=BM6)*(BQ4:BQ8=BQ6)*(BR4:BR8&gt;BR6)),"")</f>
        <v/>
      </c>
      <c r="BZ6" s="194" t="str">
        <f>IF(BI6&lt;&gt;"",SUMPRODUCT((BT4:BT8=BT6)*(BO4:BO8=BO6)*(BM4:BM8=BM6)*(BQ4:BQ8=BQ6)*(BR4:BR8=BR6)*(BS4:BS8&gt;BS6)),"")</f>
        <v/>
      </c>
      <c r="CA6" s="194" t="str">
        <f>IF(BI6&lt;&gt;"",SUM(BU6:BZ6)+2,"")</f>
        <v/>
      </c>
      <c r="CB6" s="194" t="str">
        <f>IF(BI6&lt;&gt;"",INDEX(BI6:BI8,MATCH(3,CA6:CA8,0),0),"")</f>
        <v/>
      </c>
      <c r="CW6" s="194" t="str">
        <f>IF(CB6&lt;&gt;"",CB6,IF(BH6&lt;&gt;"",BH6,IF(AN6&lt;&gt;"",AN6,N6)))</f>
        <v>Al Ahly</v>
      </c>
      <c r="CX6" s="194">
        <v>3</v>
      </c>
      <c r="CY6" s="194">
        <v>4</v>
      </c>
      <c r="CZ6" s="194" t="str">
        <f>Matches!H7</f>
        <v>Palmeiras</v>
      </c>
      <c r="DA6" s="194">
        <f>IF(CZ2&lt;&gt;"",IF(AND(Matches!J7&lt;&gt;"",Matches!K7&lt;&gt;""),Matches!J7,0),"")</f>
        <v>0</v>
      </c>
      <c r="DB6" s="194">
        <f>IF(CZ2&lt;&gt;"",IF(AND(Matches!J7&lt;&gt;"",Matches!K7&lt;&gt;""),Matches!K7,0),"")</f>
        <v>0</v>
      </c>
      <c r="DC6" s="194" t="str">
        <f>Matches!M7</f>
        <v>Porto</v>
      </c>
      <c r="DD6" s="194" t="str">
        <f>IF(AND(Matches!J7&lt;&gt;"",Matches!K7&lt;&gt;""),IF(DA6&gt;DB6,"W",IF(DA6=DB6,"D","L")),"")</f>
        <v/>
      </c>
      <c r="DE6" s="194" t="str">
        <f t="shared" si="0"/>
        <v/>
      </c>
      <c r="DP6" s="202"/>
      <c r="DQ6" s="202"/>
      <c r="DR6" s="202"/>
      <c r="DS6" s="202"/>
      <c r="DT6" s="202"/>
      <c r="DW6" s="20"/>
      <c r="DX6" s="20"/>
      <c r="DY6" s="20"/>
      <c r="DZ6" s="198" t="s">
        <v>646</v>
      </c>
      <c r="EA6" s="20"/>
      <c r="EB6" s="20" t="s">
        <v>645</v>
      </c>
    </row>
    <row r="7" spans="1:134" ht="16.5" x14ac:dyDescent="0.25">
      <c r="A7" s="194">
        <f>VLOOKUP(B7,CW4:CX8,2,FALSE)</f>
        <v>4</v>
      </c>
      <c r="B7" s="195" t="str">
        <f t="shared" si="1"/>
        <v>Inter Miami</v>
      </c>
      <c r="C7" s="194">
        <f>SUMPRODUCT((CZ3:CZ54=B7)*(DD3:DD54="W"))+SUMPRODUCT((DC3:DC54=B7)*(DE3:DE54="W"))</f>
        <v>0</v>
      </c>
      <c r="D7" s="194">
        <f>SUMPRODUCT((CZ3:CZ54=B7)*(DD3:DD54="D"))+SUMPRODUCT((DC3:DC54=B7)*(DE3:DE54="D"))</f>
        <v>0</v>
      </c>
      <c r="E7" s="194">
        <f>SUMPRODUCT((CZ3:CZ54=B7)*(DD3:DD54="L"))+SUMPRODUCT((DC3:DC54=B7)*(DE3:DE54="L"))</f>
        <v>0</v>
      </c>
      <c r="F7" s="194">
        <f>SUMIF(CZ3:CZ72,B7,DA3:DA72)+SUMIF(DC3:DC72,B7,DB3:DB72)</f>
        <v>0</v>
      </c>
      <c r="G7" s="194">
        <f>SUMIF(DC3:DC72,B7,DA3:DA72)+SUMIF(CZ3:CZ72,B7,DB3:DB72)</f>
        <v>0</v>
      </c>
      <c r="H7" s="194">
        <f t="shared" si="2"/>
        <v>1000</v>
      </c>
      <c r="I7" s="194">
        <f t="shared" si="3"/>
        <v>0</v>
      </c>
      <c r="J7" s="194">
        <f>IF(Setup!G11&lt;&gt;"",Setup!G11,8)</f>
        <v>8</v>
      </c>
      <c r="K7" s="194">
        <f>IF(COUNTIF(I4:I8,4)&lt;&gt;4,RANK(I7,I4:I8),I59)</f>
        <v>1</v>
      </c>
      <c r="M7" s="194">
        <f>SUMPRODUCT((K4:K7=K7)*(J4:J7&lt;J7))+K7</f>
        <v>1</v>
      </c>
      <c r="N7" s="195" t="str">
        <f>INDEX(B4:B8,MATCH(4,M4:M8,0),0)</f>
        <v>Palmeiras</v>
      </c>
      <c r="O7" s="194">
        <f>INDEX(K4:K8,MATCH(N7,B4:B8,0),0)</f>
        <v>1</v>
      </c>
      <c r="P7" s="194" t="str">
        <f>IF(AND(P6&lt;&gt;"",O7=1),N7,"")</f>
        <v>Palmeiras</v>
      </c>
      <c r="Q7" s="194" t="str">
        <f>IF(AND(Q6&lt;&gt;"",O8=2),N8,"")</f>
        <v/>
      </c>
      <c r="U7" s="194" t="str">
        <f t="shared" si="4"/>
        <v>Palmeiras</v>
      </c>
      <c r="V7" s="194">
        <f>SUMPRODUCT((CZ3:CZ54=U7)*(DC3:DC54=U8)*(DD3:DD54="W"))+SUMPRODUCT((CZ3:CZ54=U7)*(DC3:DC54=U4)*(DD3:DD54="W"))+SUMPRODUCT((CZ3:CZ54=U7)*(DC3:DC54=U5)*(DD3:DD54="W"))+SUMPRODUCT((CZ3:CZ54=U7)*(DC3:DC54=U6)*(DD3:DD54="W"))+SUMPRODUCT((CZ3:CZ54=U8)*(DC3:DC54=U7)*(DE3:DE54="W"))+SUMPRODUCT((CZ3:CZ54=U4)*(DC3:DC54=U7)*(DE3:DE54="W"))+SUMPRODUCT((CZ3:CZ54=U5)*(DC3:DC54=U7)*(DE3:DE54="W"))+SUMPRODUCT((CZ3:CZ54=U6)*(DC3:DC54=U7)*(DE3:DE54="W"))</f>
        <v>0</v>
      </c>
      <c r="W7" s="194">
        <f>SUMPRODUCT((CZ3:CZ54=U7)*(DC3:DC54=U8)*(DD3:DD54="D"))+SUMPRODUCT((CZ3:CZ54=U7)*(DC3:DC54=U4)*(DD3:DD54="D"))+SUMPRODUCT((CZ3:CZ54=U7)*(DC3:DC54=U5)*(DD3:DD54="D"))+SUMPRODUCT((CZ3:CZ54=U7)*(DC3:DC54=U6)*(DD3:DD54="D"))+SUMPRODUCT((CZ3:CZ54=U8)*(DC3:DC54=U7)*(DD3:DD54="D"))+SUMPRODUCT((CZ3:CZ54=U4)*(DC3:DC54=U7)*(DD3:DD54="D"))+SUMPRODUCT((CZ3:CZ54=U5)*(DC3:DC54=U7)*(DD3:DD54="D"))+SUMPRODUCT((CZ3:CZ54=U6)*(DC3:DC54=U7)*(DD3:DD54="D"))</f>
        <v>0</v>
      </c>
      <c r="X7" s="194">
        <f>SUMPRODUCT((CZ3:CZ54=U7)*(DC3:DC54=U8)*(DD3:DD54="L"))+SUMPRODUCT((CZ3:CZ54=U7)*(DC3:DC54=U4)*(DD3:DD54="L"))+SUMPRODUCT((CZ3:CZ54=U7)*(DC3:DC54=U5)*(DD3:DD54="L"))+SUMPRODUCT((CZ3:CZ54=U7)*(DC3:DC54=U6)*(DD3:DD54="L"))+SUMPRODUCT((CZ3:CZ54=U8)*(DC3:DC54=U7)*(DE3:DE54="L"))+SUMPRODUCT((CZ3:CZ54=U4)*(DC3:DC54=U7)*(DE3:DE54="L"))+SUMPRODUCT((CZ3:CZ54=U5)*(DC3:DC54=U7)*(DE3:DE54="L"))+SUMPRODUCT((CZ3:CZ54=U6)*(DC3:DC54=U7)*(DE3:DE54="L"))</f>
        <v>0</v>
      </c>
      <c r="Y7" s="194">
        <f>SUMPRODUCT((CZ3:CZ54=U7)*(DC3:DC54=U8)*DA3:DA54)+SUMPRODUCT((CZ3:CZ54=U7)*(DC3:DC54=U4)*DA3:DA54)+SUMPRODUCT((CZ3:CZ54=U7)*(DC3:DC54=U5)*DA3:DA54)+SUMPRODUCT((CZ3:CZ54=U7)*(DC3:DC54=U6)*DA3:DA54)+SUMPRODUCT((CZ3:CZ54=U8)*(DC3:DC54=U7)*DB3:DB54)+SUMPRODUCT((CZ3:CZ54=U4)*(DC3:DC54=U7)*DB3:DB54)+SUMPRODUCT((CZ3:CZ54=U5)*(DC3:DC54=U7)*DB3:DB54)+SUMPRODUCT((CZ3:CZ54=U6)*(DC3:DC54=U7)*DB3:DB54)</f>
        <v>0</v>
      </c>
      <c r="Z7" s="194">
        <f>SUMPRODUCT((CZ3:CZ54=U7)*(DC3:DC54=U8)*DB3:DB54)+SUMPRODUCT((CZ3:CZ54=U7)*(DC3:DC54=U4)*DB3:DB54)+SUMPRODUCT((CZ3:CZ54=U7)*(DC3:DC54=U5)*DB3:DB54)+SUMPRODUCT((CZ3:CZ54=U7)*(DC3:DC54=U6)*DB3:DB54)+SUMPRODUCT((CZ3:CZ54=U8)*(DC3:DC54=U7)*DA3:DA54)+SUMPRODUCT((CZ3:CZ54=U4)*(DC3:DC54=U7)*DA3:DA54)+SUMPRODUCT((CZ3:CZ54=U5)*(DC3:DC54=U7)*DA3:DA54)+SUMPRODUCT((CZ3:CZ54=U6)*(DC3:DC54=U7)*DA3:DA54)</f>
        <v>0</v>
      </c>
      <c r="AA7" s="194">
        <f>Y7-Z7+1000</f>
        <v>1000</v>
      </c>
      <c r="AB7" s="194">
        <f t="shared" si="5"/>
        <v>0</v>
      </c>
      <c r="AC7" s="194">
        <f>IF(U7&lt;&gt;"",VLOOKUP(U7,B4:H52,7,FALSE),"")</f>
        <v>1000</v>
      </c>
      <c r="AD7" s="194">
        <f>IF(U7&lt;&gt;"",VLOOKUP(U7,B4:H52,5,FALSE),"")</f>
        <v>0</v>
      </c>
      <c r="AE7" s="194">
        <f>IF(U7&lt;&gt;"",VLOOKUP(U7,B4:J52,9,FALSE),"")</f>
        <v>27</v>
      </c>
      <c r="AF7" s="194">
        <f t="shared" si="6"/>
        <v>0</v>
      </c>
      <c r="AG7" s="194">
        <f>IF(U7&lt;&gt;"",RANK(AF7,AF4:AF8),"")</f>
        <v>1</v>
      </c>
      <c r="AH7" s="194">
        <f>IF(U7&lt;&gt;"",SUMPRODUCT((AF4:AF8=AF7)*(AA4:AA8&gt;AA7)),"")</f>
        <v>0</v>
      </c>
      <c r="AI7" s="194">
        <f>IF(U7&lt;&gt;"",SUMPRODUCT((AF4:AF8=AF7)*(AA4:AA8=AA7)*(Y4:Y8&gt;Y7)),"")</f>
        <v>0</v>
      </c>
      <c r="AJ7" s="194">
        <f>IF(U7&lt;&gt;"",SUMPRODUCT((AF4:AF8=AF7)*(AA4:AA8=AA7)*(Y4:Y8=Y7)*(AC4:AC8&gt;AC7)),"")</f>
        <v>0</v>
      </c>
      <c r="AK7" s="194">
        <f>IF(U7&lt;&gt;"",SUMPRODUCT((AF4:AF8=AF7)*(AA4:AA8=AA7)*(Y4:Y8=Y7)*(AC4:AC8=AC7)*(AD4:AD8&gt;AD7)),"")</f>
        <v>0</v>
      </c>
      <c r="AL7" s="194">
        <f>IF(U7&lt;&gt;"",SUMPRODUCT((AF4:AF8=AF7)*(AA4:AA8=AA7)*(Y4:Y8=Y7)*(AC4:AC8=AC7)*(AD4:AD8=AD7)*(AE4:AE8&gt;AE7)),"")</f>
        <v>0</v>
      </c>
      <c r="AM7" s="194">
        <f>IF(U7&lt;&gt;"",IF(AM59&lt;&gt;"",IF(T55=3,AM59,AM59+T55),SUM(AG7:AL7)),"")</f>
        <v>1</v>
      </c>
      <c r="AN7" s="194" t="str">
        <f>IF(U7&lt;&gt;"",INDEX(U4:U8,MATCH(4,AM4:AM8,0),0),"")</f>
        <v>Inter Miami</v>
      </c>
      <c r="AO7" s="194" t="str">
        <f>IF(Q6&lt;&gt;"",Q6,"")</f>
        <v/>
      </c>
      <c r="AP7" s="194">
        <f>SUMPRODUCT((CZ3:CZ54=AO7)*(DC3:DC54=AO8)*(DD3:DD54="W"))+SUMPRODUCT((CZ3:CZ54=AO7)*(DC3:DC54=AO5)*(DD3:DD54="W"))+SUMPRODUCT((CZ3:CZ54=AO7)*(DC3:DC54=AO6)*(DD3:DD54="W"))+SUMPRODUCT((CZ3:CZ54=AO8)*(DC3:DC54=AO7)*(DE3:DE54="W"))+SUMPRODUCT((CZ3:CZ54=AO5)*(DC3:DC54=AO7)*(DE3:DE54="W"))+SUMPRODUCT((CZ3:CZ54=AO6)*(DC3:DC54=AO7)*(DE3:DE54="W"))</f>
        <v>0</v>
      </c>
      <c r="AQ7" s="194">
        <f>SUMPRODUCT((CZ3:CZ54=AO7)*(DC3:DC54=AO8)*(DD3:DD54="D"))+SUMPRODUCT((CZ3:CZ54=AO7)*(DC3:DC54=AO5)*(DD3:DD54="D"))+SUMPRODUCT((CZ3:CZ54=AO7)*(DC3:DC54=AO6)*(DD3:DD54="D"))+SUMPRODUCT((CZ3:CZ54=AO8)*(DC3:DC54=AO7)*(DD3:DD54="D"))+SUMPRODUCT((CZ3:CZ54=AO5)*(DC3:DC54=AO7)*(DD3:DD54="D"))+SUMPRODUCT((CZ3:CZ54=AO6)*(DC3:DC54=AO7)*(DD3:DD54="D"))</f>
        <v>0</v>
      </c>
      <c r="AR7" s="194">
        <f>SUMPRODUCT((CZ3:CZ54=AO7)*(DC3:DC54=AO8)*(DD3:DD54="L"))+SUMPRODUCT((CZ3:CZ54=AO7)*(DC3:DC54=AO5)*(DD3:DD54="L"))+SUMPRODUCT((CZ3:CZ54=AO7)*(DC3:DC54=AO6)*(DD3:DD54="L"))+SUMPRODUCT((CZ3:CZ54=AO8)*(DC3:DC54=AO7)*(DE3:DE54="L"))+SUMPRODUCT((CZ3:CZ54=AO5)*(DC3:DC54=AO7)*(DE3:DE54="L"))+SUMPRODUCT((CZ3:CZ54=AO6)*(DC3:DC54=AO7)*(DE3:DE54="L"))</f>
        <v>0</v>
      </c>
      <c r="AS7" s="194">
        <f>SUMPRODUCT((CZ3:CZ54=AO7)*(DC3:DC54=AO8)*DA3:DA54)+SUMPRODUCT((CZ3:CZ54=AO7)*(DC3:DC54=AO4)*DA3:DA54)+SUMPRODUCT((CZ3:CZ54=AO7)*(DC3:DC54=AO5)*DA3:DA54)+SUMPRODUCT((CZ3:CZ54=AO7)*(DC3:DC54=AO6)*DA3:DA54)+SUMPRODUCT((CZ3:CZ54=AO8)*(DC3:DC54=AO7)*DB3:DB54)+SUMPRODUCT((CZ3:CZ54=AO4)*(DC3:DC54=AO7)*DB3:DB54)+SUMPRODUCT((CZ3:CZ54=AO5)*(DC3:DC54=AO7)*DB3:DB54)+SUMPRODUCT((CZ3:CZ54=AO6)*(DC3:DC54=AO7)*DB3:DB54)</f>
        <v>0</v>
      </c>
      <c r="AT7" s="194">
        <f>SUMPRODUCT((CZ3:CZ54=AO7)*(DC3:DC54=AO8)*DB3:DB54)+SUMPRODUCT((CZ3:CZ54=AO7)*(DC3:DC54=AO4)*DB3:DB54)+SUMPRODUCT((CZ3:CZ54=AO7)*(DC3:DC54=AO5)*DB3:DB54)+SUMPRODUCT((CZ3:CZ54=AO7)*(DC3:DC54=AO6)*DB3:DB54)+SUMPRODUCT((CZ3:CZ54=AO8)*(DC3:DC54=AO7)*DA3:DA54)+SUMPRODUCT((CZ3:CZ54=AO4)*(DC3:DC54=AO7)*DA3:DA54)+SUMPRODUCT((CZ3:CZ54=AO5)*(DC3:DC54=AO7)*DA3:DA54)+SUMPRODUCT((CZ3:CZ54=AO6)*(DC3:DC54=AO7)*DA3:DA54)</f>
        <v>0</v>
      </c>
      <c r="AU7" s="194">
        <f>AS7-AT7+1000</f>
        <v>1000</v>
      </c>
      <c r="AV7" s="194" t="str">
        <f t="shared" si="7"/>
        <v/>
      </c>
      <c r="AW7" s="194" t="str">
        <f>IF(AO7&lt;&gt;"",VLOOKUP(AO7,B4:H52,7,FALSE),"")</f>
        <v/>
      </c>
      <c r="AX7" s="194" t="str">
        <f>IF(AO7&lt;&gt;"",VLOOKUP(AO7,B4:H52,5,FALSE),"")</f>
        <v/>
      </c>
      <c r="AY7" s="194" t="str">
        <f>IF(AO7&lt;&gt;"",VLOOKUP(AO7,B4:J52,9,FALSE),"")</f>
        <v/>
      </c>
      <c r="AZ7" s="194" t="str">
        <f t="shared" si="8"/>
        <v/>
      </c>
      <c r="BA7" s="194" t="str">
        <f>IF(AO7&lt;&gt;"",RANK(AZ7,AZ4:AZ8),"")</f>
        <v/>
      </c>
      <c r="BB7" s="194" t="str">
        <f>IF(AO7&lt;&gt;"",SUMPRODUCT((AZ4:AZ8=AZ7)*(AU4:AU8&gt;AU7)),"")</f>
        <v/>
      </c>
      <c r="BC7" s="194" t="str">
        <f>IF(AO7&lt;&gt;"",SUMPRODUCT((AZ4:AZ8=AZ7)*(AU4:AU8=AU7)*(AS4:AS8&gt;AS7)),"")</f>
        <v/>
      </c>
      <c r="BD7" s="194" t="str">
        <f>IF(AO7&lt;&gt;"",SUMPRODUCT((AZ4:AZ8=AZ7)*(AU4:AU8=AU7)*(AS4:AS8=AS7)*(AW4:AW8&gt;AW7)),"")</f>
        <v/>
      </c>
      <c r="BE7" s="194" t="str">
        <f>IF(AO7&lt;&gt;"",SUMPRODUCT((AZ4:AZ8=AZ7)*(AU4:AU8=AU7)*(AS4:AS8=AS7)*(AW4:AW8=AW7)*(AX4:AX8&gt;AX7)),"")</f>
        <v/>
      </c>
      <c r="BF7" s="194" t="str">
        <f>IF(AO7&lt;&gt;"",SUMPRODUCT((AZ4:AZ8=AZ7)*(AU4:AU8=AU7)*(AS4:AS8=AS7)*(AW4:AW8=AW7)*(AX4:AX8=AX7)*(AY4:AY8&gt;AY7)),"")</f>
        <v/>
      </c>
      <c r="BG7" s="194" t="str">
        <f>IF(AO7&lt;&gt;"",IF(BG59&lt;&gt;"",IF(AN55=3,BG59,BG59+AN55),SUM(BA7:BF7)+1),"")</f>
        <v/>
      </c>
      <c r="BH7" s="194" t="str">
        <f>IF(AO7&lt;&gt;"",INDEX(AO5:AO8,MATCH(4,BG5:BG8,0),0),"")</f>
        <v/>
      </c>
      <c r="BI7" s="194" t="str">
        <f>IF(R5&lt;&gt;"",R5,"")</f>
        <v/>
      </c>
      <c r="BJ7" s="194">
        <f>SUMPRODUCT((CZ3:CZ54=BI7)*(DC3:DC54=BI8)*(DD3:DD54="W"))+SUMPRODUCT((CZ3:CZ54=BI7)*(DC3:DC54=BI9)*(DD3:DD54="W"))+SUMPRODUCT((CZ3:CZ54=BI7)*(DC3:DC54=BI6)*(DD3:DD54="W"))+SUMPRODUCT((CZ3:CZ54=BI8)*(DC3:DC54=BI7)*(DE3:DE54="W"))+SUMPRODUCT((CZ3:CZ54=BI9)*(DC3:DC54=BI7)*(DE3:DE54="W"))+SUMPRODUCT((CZ3:CZ54=BI6)*(DC3:DC54=BI7)*(DE3:DE54="W"))</f>
        <v>0</v>
      </c>
      <c r="BK7" s="194">
        <f>SUMPRODUCT((CZ3:CZ54=BI7)*(DC3:DC54=BI8)*(DD3:DD54="D"))+SUMPRODUCT((CZ3:CZ54=BI7)*(DC3:DC54=BI9)*(DD3:DD54="D"))+SUMPRODUCT((CZ3:CZ54=BI7)*(DC3:DC54=BI6)*(DD3:DD54="D"))+SUMPRODUCT((CZ3:CZ54=BI8)*(DC3:DC54=BI7)*(DD3:DD54="D"))+SUMPRODUCT((CZ3:CZ54=BI9)*(DC3:DC54=BI7)*(DD3:DD54="D"))+SUMPRODUCT((CZ3:CZ54=BI6)*(DC3:DC54=BI7)*(DD3:DD54="D"))</f>
        <v>0</v>
      </c>
      <c r="BL7" s="194">
        <f>SUMPRODUCT((CZ3:CZ54=BI7)*(DC3:DC54=BI8)*(DD3:DD54="L"))+SUMPRODUCT((CZ3:CZ54=BI7)*(DC3:DC54=BI9)*(DD3:DD54="L"))+SUMPRODUCT((CZ3:CZ54=BI7)*(DC3:DC54=BI6)*(DD3:DD54="L"))+SUMPRODUCT((CZ3:CZ54=BI8)*(DC3:DC54=BI7)*(DE3:DE54="L"))+SUMPRODUCT((CZ3:CZ54=BI9)*(DC3:DC54=BI7)*(DE3:DE54="L"))+SUMPRODUCT((CZ3:CZ54=BI6)*(DC3:DC54=BI7)*(DE3:DE54="L"))</f>
        <v>0</v>
      </c>
      <c r="BM7" s="194">
        <f>SUMPRODUCT((CZ3:CZ54=BI7)*(DC3:DC54=BI8)*DA3:DA54)+SUMPRODUCT((CZ3:CZ54=BI7)*(DC3:DC54=BI4)*DA3:DA54)+SUMPRODUCT((CZ3:CZ54=BI7)*(DC3:DC54=BI5)*DA3:DA54)+SUMPRODUCT((CZ3:CZ54=BI7)*(DC3:DC54=BI6)*DA3:DA54)+SUMPRODUCT((CZ3:CZ54=BI8)*(DC3:DC54=BI7)*DB3:DB54)+SUMPRODUCT((CZ3:CZ54=BI4)*(DC3:DC54=BI7)*DB3:DB54)+SUMPRODUCT((CZ3:CZ54=BI5)*(DC3:DC54=BI7)*DB3:DB54)+SUMPRODUCT((CZ3:CZ54=BI6)*(DC3:DC54=BI7)*DB3:DB54)</f>
        <v>0</v>
      </c>
      <c r="BN7" s="194">
        <f>SUMPRODUCT((CZ3:CZ54=BI7)*(DC3:DC54=BI8)*DB3:DB54)+SUMPRODUCT((CZ3:CZ54=BI7)*(DC3:DC54=BI4)*DB3:DB54)+SUMPRODUCT((CZ3:CZ54=BI7)*(DC3:DC54=BI5)*DB3:DB54)+SUMPRODUCT((CZ3:CZ54=BI7)*(DC3:DC54=BI6)*DB3:DB54)+SUMPRODUCT((CZ3:CZ54=BI8)*(DC3:DC54=BI7)*DA3:DA54)+SUMPRODUCT((CZ3:CZ54=BI4)*(DC3:DC54=BI7)*DA3:DA54)+SUMPRODUCT((CZ3:CZ54=BI5)*(DC3:DC54=BI7)*DA3:DA54)+SUMPRODUCT((CZ3:CZ54=BI6)*(DC3:DC54=BI7)*DA3:DA54)</f>
        <v>0</v>
      </c>
      <c r="BO7" s="194">
        <f>BM7-BN7+1000</f>
        <v>1000</v>
      </c>
      <c r="BP7" s="194" t="str">
        <f t="shared" si="9"/>
        <v/>
      </c>
      <c r="BQ7" s="194" t="str">
        <f>IF(BI7&lt;&gt;"",VLOOKUP(BI7,B4:H52,7,FALSE),"")</f>
        <v/>
      </c>
      <c r="BR7" s="194" t="str">
        <f>IF(BI7&lt;&gt;"",VLOOKUP(BI7,B4:H52,5,FALSE),"")</f>
        <v/>
      </c>
      <c r="BS7" s="194" t="str">
        <f>IF(BI7&lt;&gt;"",VLOOKUP(BI7,B4:J52,9,FALSE),"")</f>
        <v/>
      </c>
      <c r="BT7" s="194" t="str">
        <f t="shared" si="10"/>
        <v/>
      </c>
      <c r="BU7" s="194" t="str">
        <f>IF(BI7&lt;&gt;"",RANK(BT7,BT4:BT8),"")</f>
        <v/>
      </c>
      <c r="BV7" s="194" t="str">
        <f>IF(BI7&lt;&gt;"",SUMPRODUCT((BT4:BT8=BT7)*(BO4:BO8&gt;BO7)),"")</f>
        <v/>
      </c>
      <c r="BW7" s="194" t="str">
        <f>IF(BI7&lt;&gt;"",SUMPRODUCT((BT4:BT8=BT7)*(BO4:BO8=BO7)*(BM4:BM8&gt;BM7)),"")</f>
        <v/>
      </c>
      <c r="BX7" s="194" t="str">
        <f>IF(BI7&lt;&gt;"",SUMPRODUCT((BT4:BT8=BT7)*(BO4:BO8=BO7)*(BM4:BM8=BM7)*(BQ4:BQ8&gt;BQ7)),"")</f>
        <v/>
      </c>
      <c r="BY7" s="194" t="str">
        <f>IF(BI7&lt;&gt;"",SUMPRODUCT((BT4:BT8=BT7)*(BO4:BO8=BO7)*(BM4:BM8=BM7)*(BQ4:BQ8=BQ7)*(BR4:BR8&gt;BR7)),"")</f>
        <v/>
      </c>
      <c r="BZ7" s="194" t="str">
        <f>IF(BI7&lt;&gt;"",SUMPRODUCT((BT4:BT8=BT7)*(BO4:BO8=BO7)*(BM4:BM8=BM7)*(BQ4:BQ8=BQ7)*(BR4:BR8=BR7)*(BS4:BS8&gt;BS7)),"")</f>
        <v/>
      </c>
      <c r="CA7" s="194" t="str">
        <f>IF(BI7&lt;&gt;"",SUM(BU7:BZ7)+2,"")</f>
        <v/>
      </c>
      <c r="CB7" s="194" t="str">
        <f>IF(BI7&lt;&gt;"",INDEX(BI6:BI8,MATCH(4,CA6:CA8,0),0),"")</f>
        <v/>
      </c>
      <c r="CC7" s="194" t="str">
        <f>IF(S4&lt;&gt;"",S4,"")</f>
        <v/>
      </c>
      <c r="CD7" s="194">
        <f>SUMPRODUCT((CZ3:CZ54=CC7)*(DC3:DC54=CC8)*(DD3:DD54="W"))+SUMPRODUCT((CZ3:CZ54=CC7)*(DC3:DC54=CC9)*(DD3:DD54="W"))+SUMPRODUCT((CZ3:CZ54=CC7)*(DC3:DC54=CC10)*(DD3:DD54="W"))+SUMPRODUCT((CZ3:CZ54=CC8)*(DC3:DC54=CC7)*(DE3:DE54="W"))+SUMPRODUCT((CZ3:CZ54=CC9)*(DC3:DC54=CC7)*(DE3:DE54="W"))+SUMPRODUCT((CZ3:CZ54=CC10)*(DC3:DC54=CC7)*(DE3:DE54="W"))</f>
        <v>0</v>
      </c>
      <c r="CE7" s="194">
        <f>SUMPRODUCT((CZ3:CZ54=CC7)*(DC3:DC54=CC8)*(DD3:DD54="D"))+SUMPRODUCT((CZ3:CZ54=CC7)*(DC3:DC54=CC9)*(DD3:DD54="D"))+SUMPRODUCT((CZ3:CZ54=CC7)*(DC3:DC54=CC10)*(DD3:DD54="D"))+SUMPRODUCT((CZ3:CZ54=CC8)*(DC3:DC54=CC7)*(DD3:DD54="D"))+SUMPRODUCT((CZ3:CZ54=CC9)*(DC3:DC54=CC7)*(DD3:DD54="D"))+SUMPRODUCT((CZ3:CZ54=CC10)*(DC3:DC54=CC7)*(DD3:DD54="D"))</f>
        <v>0</v>
      </c>
      <c r="CF7" s="194">
        <f>SUMPRODUCT((CZ3:CZ54=CC7)*(DC3:DC54=CC8)*(DD3:DD54="L"))+SUMPRODUCT((CZ3:CZ54=CC7)*(DC3:DC54=CC9)*(DD3:DD54="L"))+SUMPRODUCT((CZ3:CZ54=CC7)*(DC3:DC54=CC10)*(DD3:DD54="L"))+SUMPRODUCT((CZ3:CZ54=CC8)*(DC3:DC54=CC7)*(DE3:DE54="L"))+SUMPRODUCT((CZ3:CZ54=CC9)*(DC3:DC54=CC7)*(DE3:DE54="L"))+SUMPRODUCT((CZ3:CZ54=CC10)*(DC3:DC54=CC7)*(DE3:DE54="L"))</f>
        <v>0</v>
      </c>
      <c r="CG7" s="194">
        <f>SUMPRODUCT((CZ3:CZ54=CC7)*(DC3:DC54=CC8)*DA3:DA54)+SUMPRODUCT((CZ3:CZ54=CC7)*(DC3:DC54=CC4)*DA3:DA54)+SUMPRODUCT((CZ3:CZ54=CC7)*(DC3:DC54=CC5)*DA3:DA54)+SUMPRODUCT((CZ3:CZ54=CC7)*(DC3:DC54=CC6)*DA3:DA54)+SUMPRODUCT((CZ3:CZ54=CC8)*(DC3:DC54=CC7)*DB3:DB54)+SUMPRODUCT((CZ3:CZ54=CC4)*(DC3:DC54=CC7)*DB3:DB54)+SUMPRODUCT((CZ3:CZ54=CC5)*(DC3:DC54=CC7)*DB3:DB54)+SUMPRODUCT((CZ3:CZ54=CC6)*(DC3:DC54=CC7)*DB3:DB54)</f>
        <v>0</v>
      </c>
      <c r="CH7" s="194">
        <f>SUMPRODUCT((CZ3:CZ54=CC7)*(DC3:DC54=CC8)*DB3:DB54)+SUMPRODUCT((CZ3:CZ54=CC7)*(DC3:DC54=CC4)*DB3:DB54)+SUMPRODUCT((CZ3:CZ54=CC7)*(DC3:DC54=CC5)*DB3:DB54)+SUMPRODUCT((CZ3:CZ54=CC7)*(DC3:DC54=CC6)*DB3:DB54)+SUMPRODUCT((CZ3:CZ54=CC8)*(DC3:DC54=CC7)*DA3:DA54)+SUMPRODUCT((CZ3:CZ54=CC4)*(DC3:DC54=CC7)*DA3:DA54)+SUMPRODUCT((CZ3:CZ54=CC5)*(DC3:DC54=CC7)*DA3:DA54)+SUMPRODUCT((CZ3:CZ54=CC6)*(DC3:DC54=CC7)*DA3:DA54)</f>
        <v>0</v>
      </c>
      <c r="CI7" s="194">
        <f>CG7-CH7+1000</f>
        <v>1000</v>
      </c>
      <c r="CJ7" s="194" t="str">
        <f t="shared" ref="CJ7" si="11">IF(CC7&lt;&gt;"",CD7*3+CE7*1,"")</f>
        <v/>
      </c>
      <c r="CK7" s="194" t="str">
        <f>IF(CC7&lt;&gt;"",VLOOKUP(CC7,B4:H52,7,FALSE),"")</f>
        <v/>
      </c>
      <c r="CL7" s="194" t="str">
        <f>IF(CC7&lt;&gt;"",VLOOKUP(CC7,B4:H52,5,FALSE),"")</f>
        <v/>
      </c>
      <c r="CM7" s="194" t="str">
        <f>IF(CC7&lt;&gt;"",VLOOKUP(CC7,B4:J52,9,FALSE),"")</f>
        <v/>
      </c>
      <c r="CN7" s="194" t="str">
        <f t="shared" ref="CN7" si="12">CJ7</f>
        <v/>
      </c>
      <c r="CO7" s="194" t="str">
        <f>IF(CC7&lt;&gt;"",RANK(CN7,CN4:CN8),"")</f>
        <v/>
      </c>
      <c r="CP7" s="194" t="str">
        <f>IF(CC7&lt;&gt;"",SUMPRODUCT((CN4:CN8=CN7)*(CI4:CI8&gt;CI7)),"")</f>
        <v/>
      </c>
      <c r="CQ7" s="194" t="str">
        <f>IF(CC7&lt;&gt;"",SUMPRODUCT((CN4:CN8=CN7)*(CI4:CI8=CI7)*(CG4:CG8&gt;CG7)),"")</f>
        <v/>
      </c>
      <c r="CR7" s="194" t="str">
        <f>IF(CC7&lt;&gt;"",SUMPRODUCT((CN4:CN8=CN7)*(CI4:CI8=CI7)*(CG4:CG8=CG7)*(CK4:CK8&gt;CK7)),"")</f>
        <v/>
      </c>
      <c r="CS7" s="194" t="str">
        <f>IF(CC7&lt;&gt;"",SUMPRODUCT((CN4:CN8=CN7)*(CI4:CI8=CI7)*(CG4:CG8=CG7)*(CK4:CK8=CK7)*(CL4:CL8&gt;CL7)),"")</f>
        <v/>
      </c>
      <c r="CT7" s="194" t="str">
        <f>IF(CC7&lt;&gt;"",SUMPRODUCT((CN4:CN8=CN7)*(CI4:CI8=CI7)*(CG4:CG8=CG7)*(CK4:CK8=CK7)*(CL4:CL8=CL7)*(CM4:CM8&gt;CM7)),"")</f>
        <v/>
      </c>
      <c r="CU7" s="194" t="str">
        <f>IF(CC7&lt;&gt;"",SUM(CO7:CT7)+3,"")</f>
        <v/>
      </c>
      <c r="CV7" s="194" t="str">
        <f>IF(CC7&lt;&gt;"",IF(CU7=4,CC7,CC8),"")</f>
        <v/>
      </c>
      <c r="CW7" s="194" t="str">
        <f>IF(CV7&lt;&gt;"",CV7,IF(CB7&lt;&gt;"",CB7,IF(BH7&lt;&gt;"",BH7,IF(AN7&lt;&gt;"",AN7,N7))))</f>
        <v>Inter Miami</v>
      </c>
      <c r="CX7" s="194">
        <f>IF(LEFT(About!C5,2)="jo",4,3)</f>
        <v>4</v>
      </c>
      <c r="CY7" s="194">
        <v>5</v>
      </c>
      <c r="CZ7" s="194" t="str">
        <f>Matches!H8</f>
        <v>Botafogo</v>
      </c>
      <c r="DA7" s="194">
        <f>IF(CZ2&lt;&gt;"",IF(AND(Matches!J8&lt;&gt;"",Matches!K8&lt;&gt;""),Matches!J8,0),"")</f>
        <v>0</v>
      </c>
      <c r="DB7" s="194">
        <f>IF(CZ2&lt;&gt;"",IF(AND(Matches!J8&lt;&gt;"",Matches!K8&lt;&gt;""),Matches!K8,0),"")</f>
        <v>0</v>
      </c>
      <c r="DC7" s="194" t="str">
        <f>Matches!M8</f>
        <v>Seattle Sounders</v>
      </c>
      <c r="DD7" s="194" t="str">
        <f>IF(AND(Matches!J8&lt;&gt;"",Matches!K8&lt;&gt;""),IF(DA7&gt;DB7,"W",IF(DA7=DB7,"D","L")),"")</f>
        <v/>
      </c>
      <c r="DE7" s="194" t="str">
        <f t="shared" si="0"/>
        <v/>
      </c>
      <c r="DN7" s="20" t="str">
        <f>Setup!E8</f>
        <v>BRA</v>
      </c>
      <c r="DP7" s="212" t="s">
        <v>85</v>
      </c>
      <c r="DQ7" s="199"/>
      <c r="DR7" s="200" t="str">
        <f>ED7</f>
        <v>Palmeiras</v>
      </c>
      <c r="DS7" s="201" t="s">
        <v>604</v>
      </c>
      <c r="DT7" s="200"/>
      <c r="DU7" s="196">
        <v>1</v>
      </c>
      <c r="DV7" s="202">
        <v>-12</v>
      </c>
      <c r="DW7" s="20">
        <f>TimeZoneData</f>
        <v>0</v>
      </c>
      <c r="DX7" s="9">
        <v>1</v>
      </c>
      <c r="DY7" s="203">
        <f t="shared" ref="DY7:DY70" si="13">DZ7</f>
        <v>45822.833333333336</v>
      </c>
      <c r="DZ7" s="204">
        <v>45822.833333333336</v>
      </c>
      <c r="EA7" s="205">
        <f t="shared" ref="EA7:EA38" si="14">DZ7+TimeZoneData/24</f>
        <v>45822.833333333336</v>
      </c>
      <c r="EB7" s="204">
        <v>45822.833333333336</v>
      </c>
      <c r="EC7" s="196">
        <f>SUM(Matches!S5:S8)</f>
        <v>10</v>
      </c>
      <c r="ED7" s="196" t="str">
        <f>INDEX(Language!A1:K117,MATCH(Setup!B8,Language!B1:B117,0),MATCH(Setup!C5,Language!A1:J1,0))</f>
        <v>Palmeiras</v>
      </c>
    </row>
    <row r="8" spans="1:134" x14ac:dyDescent="0.25">
      <c r="CY8" s="194">
        <v>6</v>
      </c>
      <c r="CZ8" s="194" t="str">
        <f>Matches!H9</f>
        <v>Chelsea</v>
      </c>
      <c r="DA8" s="194">
        <f>IF(CZ2&lt;&gt;"",IF(AND(Matches!J9&lt;&gt;"",Matches!K9&lt;&gt;""),Matches!J9,0),"")</f>
        <v>0</v>
      </c>
      <c r="DB8" s="194">
        <f>IF(CZ2&lt;&gt;"",IF(AND(Matches!J9&lt;&gt;"",Matches!K9&lt;&gt;""),Matches!K9,0),"")</f>
        <v>0</v>
      </c>
      <c r="DC8" s="194" t="str">
        <f>Matches!M9</f>
        <v>Los Angeles</v>
      </c>
      <c r="DD8" s="194" t="str">
        <f>IF(AND(Matches!J9&lt;&gt;"",Matches!K9&lt;&gt;""),IF(DA8&gt;DB8,"W",IF(DA8=DB8,"D","L")),"")</f>
        <v/>
      </c>
      <c r="DE8" s="194" t="str">
        <f t="shared" si="0"/>
        <v/>
      </c>
      <c r="DN8" s="20" t="str">
        <f>Setup!E9</f>
        <v>POR</v>
      </c>
      <c r="DP8" s="212"/>
      <c r="DQ8" s="199"/>
      <c r="DR8" s="200" t="str">
        <f t="shared" ref="DR8:DR38" si="15">ED8</f>
        <v>Porto</v>
      </c>
      <c r="DS8" s="201" t="s">
        <v>605</v>
      </c>
      <c r="DT8" s="200"/>
      <c r="DU8" s="196">
        <v>2</v>
      </c>
      <c r="DV8" s="202">
        <v>-11.5</v>
      </c>
      <c r="DW8" s="20"/>
      <c r="DX8" s="9">
        <v>2</v>
      </c>
      <c r="DY8" s="203">
        <f t="shared" si="13"/>
        <v>45823.5</v>
      </c>
      <c r="DZ8" s="204">
        <v>45823.5</v>
      </c>
      <c r="EA8" s="205">
        <f t="shared" si="14"/>
        <v>45823.5</v>
      </c>
      <c r="EB8" s="204">
        <v>45823.5</v>
      </c>
      <c r="ED8" s="196" t="str">
        <f>INDEX(Language!A1:K117,MATCH(Setup!B9,Language!B1:B117,0),MATCH(Setup!C5,Language!A1:J1,0))</f>
        <v>Porto</v>
      </c>
    </row>
    <row r="9" spans="1:134" x14ac:dyDescent="0.25">
      <c r="BG9" s="194" t="s">
        <v>587</v>
      </c>
      <c r="CY9" s="194">
        <v>7</v>
      </c>
      <c r="CZ9" s="194" t="str">
        <f>Matches!H10</f>
        <v>Boca Juniors</v>
      </c>
      <c r="DA9" s="194">
        <f>IF(CZ2&lt;&gt;"",IF(AND(Matches!J10&lt;&gt;"",Matches!K10&lt;&gt;""),Matches!J10,0),"")</f>
        <v>0</v>
      </c>
      <c r="DB9" s="194">
        <f>IF(CZ2&lt;&gt;"",IF(AND(Matches!J10&lt;&gt;"",Matches!K10&lt;&gt;""),Matches!K10,0),"")</f>
        <v>0</v>
      </c>
      <c r="DC9" s="194" t="str">
        <f>Matches!M10</f>
        <v>Benfica</v>
      </c>
      <c r="DD9" s="194" t="str">
        <f>IF(AND(Matches!J10&lt;&gt;"",Matches!K10&lt;&gt;""),IF(DA9&gt;DB9,"W",IF(DA9=DB9,"D","L")),"")</f>
        <v/>
      </c>
      <c r="DE9" s="194" t="str">
        <f t="shared" si="0"/>
        <v/>
      </c>
      <c r="DN9" s="20" t="str">
        <f>Setup!E10</f>
        <v>EGY</v>
      </c>
      <c r="DP9" s="212"/>
      <c r="DQ9" s="199"/>
      <c r="DR9" s="200" t="str">
        <f t="shared" si="15"/>
        <v>Al Ahly</v>
      </c>
      <c r="DS9" s="201" t="s">
        <v>606</v>
      </c>
      <c r="DT9" s="200"/>
      <c r="DU9" s="196">
        <v>3</v>
      </c>
      <c r="DV9" s="202">
        <v>-11</v>
      </c>
      <c r="DW9" s="20"/>
      <c r="DX9" s="9">
        <v>3</v>
      </c>
      <c r="DY9" s="203">
        <f t="shared" si="13"/>
        <v>45823.625</v>
      </c>
      <c r="DZ9" s="204">
        <f>EB9+3/24</f>
        <v>45823.625</v>
      </c>
      <c r="EA9" s="205">
        <f t="shared" si="14"/>
        <v>45823.625</v>
      </c>
      <c r="EB9" s="204">
        <v>45823.5</v>
      </c>
      <c r="ED9" s="196" t="str">
        <f>INDEX(Language!A1:K117,MATCH(Setup!B10,Language!B1:B117,0),MATCH(Setup!C5,Language!A1:J1,0))</f>
        <v>Al Ahly</v>
      </c>
    </row>
    <row r="10" spans="1:134" x14ac:dyDescent="0.25">
      <c r="CY10" s="194">
        <v>8</v>
      </c>
      <c r="CZ10" s="194" t="str">
        <f>Matches!H11</f>
        <v>Flamengo</v>
      </c>
      <c r="DA10" s="194">
        <f>IF(CZ2&lt;&gt;"",IF(AND(Matches!J11&lt;&gt;"",Matches!K11&lt;&gt;""),Matches!J11,0),"")</f>
        <v>0</v>
      </c>
      <c r="DB10" s="194">
        <f>IF(CZ2&lt;&gt;"",IF(AND(Matches!J11&lt;&gt;"",Matches!K11&lt;&gt;""),Matches!K11,0),"")</f>
        <v>0</v>
      </c>
      <c r="DC10" s="194" t="str">
        <f>Matches!M11</f>
        <v>Espérance Sportive de Tunis</v>
      </c>
      <c r="DD10" s="194" t="str">
        <f>IF(AND(Matches!J11&lt;&gt;"",Matches!K11&lt;&gt;""),IF(DA10&gt;DB10,"W",IF(DA10=DB10,"D","L")),"")</f>
        <v/>
      </c>
      <c r="DE10" s="194" t="str">
        <f t="shared" si="0"/>
        <v/>
      </c>
      <c r="DN10" s="20" t="str">
        <f>Setup!E11</f>
        <v>USA</v>
      </c>
      <c r="DP10" s="212"/>
      <c r="DQ10" s="199"/>
      <c r="DR10" s="200" t="str">
        <f t="shared" si="15"/>
        <v>Inter Miami</v>
      </c>
      <c r="DS10" s="201" t="s">
        <v>607</v>
      </c>
      <c r="DT10" s="200"/>
      <c r="DU10" s="196">
        <v>4</v>
      </c>
      <c r="DV10" s="202">
        <v>-10.5</v>
      </c>
      <c r="DW10" s="20"/>
      <c r="DX10" s="9">
        <v>4</v>
      </c>
      <c r="DY10" s="203">
        <f t="shared" si="13"/>
        <v>45823.75</v>
      </c>
      <c r="DZ10" s="204">
        <v>45823.75</v>
      </c>
      <c r="EA10" s="205">
        <f t="shared" si="14"/>
        <v>45823.75</v>
      </c>
      <c r="EB10" s="204">
        <v>45823.75</v>
      </c>
      <c r="ED10" s="196" t="str">
        <f>INDEX(Language!A1:K117,MATCH(Setup!B11,Language!B1:B117,0),MATCH(Setup!C5,Language!A1:J1,0))</f>
        <v>Inter Miami</v>
      </c>
    </row>
    <row r="11" spans="1:134" ht="16.5" x14ac:dyDescent="0.25">
      <c r="A11" s="194">
        <f>VLOOKUP(B11,CW11:CX15,2,FALSE)</f>
        <v>1</v>
      </c>
      <c r="B11" s="195" t="str">
        <f>ED11</f>
        <v>Paris Saint-Germain</v>
      </c>
      <c r="C11" s="194">
        <f>SUMPRODUCT((CZ3:CZ54=B11)*(DD3:DD54="W"))+SUMPRODUCT((DC3:DC54=B11)*(DE3:DE54="W"))</f>
        <v>0</v>
      </c>
      <c r="D11" s="194">
        <f>SUMPRODUCT((CZ3:CZ54=B11)*(DD3:DD54="D"))+SUMPRODUCT((DC3:DC54=B11)*(DE3:DE54="D"))</f>
        <v>0</v>
      </c>
      <c r="E11" s="194">
        <f>SUMPRODUCT((CZ3:CZ54=B11)*(DD3:DD54="L"))+SUMPRODUCT((DC3:DC54=B11)*(DE3:DE54="L"))</f>
        <v>0</v>
      </c>
      <c r="F11" s="194">
        <f>SUMIF(CZ3:CZ72,B11,DA3:DA72)+SUMIF(DC3:DC72,B11,DB3:DB72)</f>
        <v>0</v>
      </c>
      <c r="G11" s="194">
        <f>SUMIF(DC3:DC72,B11,DA3:DA72)+SUMIF(CZ3:CZ72,B11,DB3:DB72)</f>
        <v>0</v>
      </c>
      <c r="H11" s="194">
        <f t="shared" ref="H11:H14" si="16">F11-G11+1000</f>
        <v>1000</v>
      </c>
      <c r="I11" s="194">
        <f t="shared" ref="I11:I14" si="17">C11*3+D11*1</f>
        <v>0</v>
      </c>
      <c r="J11" s="194">
        <f>IF(Setup!G12&lt;&gt;"",Setup!G12,29)</f>
        <v>29</v>
      </c>
      <c r="K11" s="194">
        <f>IF(COUNTIF(I11:I15,4)&lt;&gt;4,RANK(I11,I11:I15),I63)</f>
        <v>1</v>
      </c>
      <c r="M11" s="194">
        <f>SUMPRODUCT((K11:K14=K11)*(J11:J14&lt;J11))+K11</f>
        <v>4</v>
      </c>
      <c r="N11" s="195" t="str">
        <f>INDEX(B11:B15,MATCH(1,M11:M15,0),0)</f>
        <v>Seattle Sounders</v>
      </c>
      <c r="O11" s="194">
        <f>INDEX(K11:K15,MATCH(N11,B11:B15,0),0)</f>
        <v>1</v>
      </c>
      <c r="P11" s="194" t="str">
        <f>IF(O12=1,N11,"")</f>
        <v>Seattle Sounders</v>
      </c>
      <c r="Q11" s="194" t="str">
        <f>IF(O13=2,N12,"")</f>
        <v/>
      </c>
      <c r="R11" s="194" t="str">
        <f>IF(O14=3,N13,"")</f>
        <v/>
      </c>
      <c r="S11" s="194" t="str">
        <f>IF(O15=4,N14,"")</f>
        <v/>
      </c>
      <c r="U11" s="194" t="str">
        <f>IF(P11&lt;&gt;"",P11,"")</f>
        <v>Seattle Sounders</v>
      </c>
      <c r="V11" s="194">
        <f>SUMPRODUCT((CZ3:CZ54=U11)*(DC3:DC54=U12)*(DD3:DD54="W"))+SUMPRODUCT((CZ3:CZ54=U11)*(DC3:DC54=U13)*(DD3:DD54="W"))+SUMPRODUCT((CZ3:CZ54=U11)*(DC3:DC54=U14)*(DD3:DD54="W"))+SUMPRODUCT((CZ3:CZ54=U11)*(DC3:DC54=U15)*(DD3:DD54="W"))+SUMPRODUCT((CZ3:CZ54=U12)*(DC3:DC54=U11)*(DE3:DE54="W"))+SUMPRODUCT((CZ3:CZ54=U13)*(DC3:DC54=U11)*(DE3:DE54="W"))+SUMPRODUCT((CZ3:CZ54=U14)*(DC3:DC54=U11)*(DE3:DE54="W"))+SUMPRODUCT((CZ3:CZ54=U15)*(DC3:DC54=U11)*(DE3:DE54="W"))</f>
        <v>0</v>
      </c>
      <c r="W11" s="194">
        <f>SUMPRODUCT((CZ3:CZ54=U11)*(DC3:DC54=U12)*(DD3:DD54="D"))+SUMPRODUCT((CZ3:CZ54=U11)*(DC3:DC54=U13)*(DD3:DD54="D"))+SUMPRODUCT((CZ3:CZ54=U11)*(DC3:DC54=U14)*(DD3:DD54="D"))+SUMPRODUCT((CZ3:CZ54=U11)*(DC3:DC54=U15)*(DD3:DD54="D"))+SUMPRODUCT((CZ3:CZ54=U12)*(DC3:DC54=U11)*(DD3:DD54="D"))+SUMPRODUCT((CZ3:CZ54=U13)*(DC3:DC54=U11)*(DD3:DD54="D"))+SUMPRODUCT((CZ3:CZ54=U14)*(DC3:DC54=U11)*(DD3:DD54="D"))+SUMPRODUCT((CZ3:CZ54=U15)*(DC3:DC54=U11)*(DD3:DD54="D"))</f>
        <v>0</v>
      </c>
      <c r="X11" s="194">
        <f>SUMPRODUCT((CZ3:CZ54=U11)*(DC3:DC54=U12)*(DD3:DD54="L"))+SUMPRODUCT((CZ3:CZ54=U11)*(DC3:DC54=U13)*(DD3:DD54="L"))+SUMPRODUCT((CZ3:CZ54=U11)*(DC3:DC54=U14)*(DD3:DD54="L"))+SUMPRODUCT((CZ3:CZ54=U11)*(DC3:DC54=U15)*(DD3:DD54="L"))+SUMPRODUCT((CZ3:CZ54=U12)*(DC3:DC54=U11)*(DE3:DE54="L"))+SUMPRODUCT((CZ3:CZ54=U13)*(DC3:DC54=U11)*(DE3:DE54="L"))+SUMPRODUCT((CZ3:CZ54=U14)*(DC3:DC54=U11)*(DE3:DE54="L"))+SUMPRODUCT((CZ3:CZ54=U15)*(DC3:DC54=U11)*(DE3:DE54="L"))</f>
        <v>0</v>
      </c>
      <c r="Y11" s="194">
        <f>SUMPRODUCT((CZ3:CZ54=U11)*(DC3:DC54=U12)*DA3:DA54)+SUMPRODUCT((CZ3:CZ54=U11)*(DC3:DC54=U13)*DA3:DA54)+SUMPRODUCT((CZ3:CZ54=U11)*(DC3:DC54=U14)*DA3:DA54)+SUMPRODUCT((CZ3:CZ54=U11)*(DC3:DC54=U15)*DA3:DA54)+SUMPRODUCT((CZ3:CZ54=U12)*(DC3:DC54=U11)*DB3:DB54)+SUMPRODUCT((CZ3:CZ54=U13)*(DC3:DC54=U11)*DB3:DB54)+SUMPRODUCT((CZ3:CZ54=U14)*(DC3:DC54=U11)*DB3:DB54)+SUMPRODUCT((CZ3:CZ54=U15)*(DC3:DC54=U11)*DB3:DB54)</f>
        <v>0</v>
      </c>
      <c r="Z11" s="194">
        <f>SUMPRODUCT((CZ3:CZ54=U11)*(DC3:DC54=U12)*DB3:DB54)+SUMPRODUCT((CZ3:CZ54=U11)*(DC3:DC54=U13)*DB3:DB54)+SUMPRODUCT((CZ3:CZ54=U11)*(DC3:DC54=U14)*DB3:DB54)+SUMPRODUCT((CZ3:CZ54=U11)*(DC3:DC54=U15)*DB3:DB54)+SUMPRODUCT((CZ3:CZ54=U12)*(DC3:DC54=U11)*DA3:DA54)+SUMPRODUCT((CZ3:CZ54=U13)*(DC3:DC54=U11)*DA3:DA54)+SUMPRODUCT((CZ3:CZ54=U14)*(DC3:DC54=U11)*DA3:DA54)+SUMPRODUCT((CZ3:CZ54=U15)*(DC3:DC54=U11)*DA3:DA54)</f>
        <v>0</v>
      </c>
      <c r="AA11" s="194">
        <f>Y11-Z11+1000</f>
        <v>1000</v>
      </c>
      <c r="AB11" s="194">
        <f t="shared" ref="AB11:AB14" si="18">IF(U11&lt;&gt;"",V11*3+W11*1,"")</f>
        <v>0</v>
      </c>
      <c r="AC11" s="194">
        <f>IF(U11&lt;&gt;"",VLOOKUP(U11,B4:H52,7,FALSE),"")</f>
        <v>1000</v>
      </c>
      <c r="AD11" s="194">
        <f>IF(U11&lt;&gt;"",VLOOKUP(U11,B4:H52,5,FALSE),"")</f>
        <v>0</v>
      </c>
      <c r="AE11" s="194">
        <f>IF(U11&lt;&gt;"",VLOOKUP(U11,B4:J52,9,FALSE),"")</f>
        <v>7</v>
      </c>
      <c r="AF11" s="194">
        <f t="shared" ref="AF11:AF14" si="19">AB11</f>
        <v>0</v>
      </c>
      <c r="AG11" s="194">
        <f>IF(U11&lt;&gt;"",RANK(AF11,AF11:AF15),"")</f>
        <v>1</v>
      </c>
      <c r="AH11" s="194">
        <f>IF(U11&lt;&gt;"",SUMPRODUCT((AF11:AF15=AF11)*(AA11:AA15&gt;AA11)),"")</f>
        <v>0</v>
      </c>
      <c r="AI11" s="194">
        <f>IF(U11&lt;&gt;"",SUMPRODUCT((AF11:AF15=AF11)*(AA11:AA15=AA11)*(Y11:Y15&gt;Y11)),"")</f>
        <v>0</v>
      </c>
      <c r="AJ11" s="194">
        <f>IF(U11&lt;&gt;"",SUMPRODUCT((AF11:AF15=AF11)*(AA11:AA15=AA11)*(Y11:Y15=Y11)*(AC11:AC15&gt;AC11)),"")</f>
        <v>0</v>
      </c>
      <c r="AK11" s="194">
        <f>IF(U11&lt;&gt;"",SUMPRODUCT((AF11:AF15=AF11)*(AA11:AA15=AA11)*(Y11:Y15=Y11)*(AC11:AC15=AC11)*(AD11:AD15&gt;AD11)),"")</f>
        <v>0</v>
      </c>
      <c r="AL11" s="194">
        <f>IF(U11&lt;&gt;"",SUMPRODUCT((AF11:AF15=AF11)*(AA11:AA15=AA11)*(Y11:Y15=Y11)*(AC11:AC15=AC11)*(AD11:AD15=AD11)*(AE11:AE15&gt;AE11)),"")</f>
        <v>3</v>
      </c>
      <c r="AM11" s="194">
        <f>IF(U11&lt;&gt;"",IF(AM63&lt;&gt;"",IF(T62=3,AM63,AM63+T62),SUM(AG11:AL11)),"")</f>
        <v>4</v>
      </c>
      <c r="AN11" s="194" t="str">
        <f>IF(U11&lt;&gt;"",INDEX(U11:U15,MATCH(1,AM11:AM15,0),0),"")</f>
        <v>Paris Saint-Germain</v>
      </c>
      <c r="CW11" s="194" t="str">
        <f>IF(AN11&lt;&gt;"",AN11,N11)</f>
        <v>Paris Saint-Germain</v>
      </c>
      <c r="CX11" s="194">
        <v>1</v>
      </c>
      <c r="CY11" s="194">
        <v>9</v>
      </c>
      <c r="CZ11" s="194" t="str">
        <f>Matches!H12</f>
        <v>Fluminense</v>
      </c>
      <c r="DA11" s="194">
        <f>IF(CZ2&lt;&gt;"",IF(AND(Matches!J12&lt;&gt;"",Matches!K12&lt;&gt;""),Matches!J12,0),"")</f>
        <v>0</v>
      </c>
      <c r="DB11" s="194">
        <f>IF(CZ2&lt;&gt;"",IF(AND(Matches!J12&lt;&gt;"",Matches!K12&lt;&gt;""),Matches!K12,0),"")</f>
        <v>0</v>
      </c>
      <c r="DC11" s="194" t="str">
        <f>Matches!M12</f>
        <v>Borussia Dortmund</v>
      </c>
      <c r="DD11" s="194" t="str">
        <f>IF(AND(Matches!J12&lt;&gt;"",Matches!K12&lt;&gt;""),IF(DA11&gt;DB11,"W",IF(DA11=DB11,"D","L")),"")</f>
        <v/>
      </c>
      <c r="DE11" s="194" t="str">
        <f t="shared" si="0"/>
        <v/>
      </c>
      <c r="DN11" s="20" t="str">
        <f>Setup!E12</f>
        <v>FRA</v>
      </c>
      <c r="DP11" s="212" t="s">
        <v>86</v>
      </c>
      <c r="DQ11" s="199"/>
      <c r="DR11" s="200" t="str">
        <f t="shared" si="15"/>
        <v>Paris Saint-Germain</v>
      </c>
      <c r="DS11" s="201" t="s">
        <v>608</v>
      </c>
      <c r="DT11" s="200"/>
      <c r="DU11" s="196">
        <v>5</v>
      </c>
      <c r="DV11" s="202">
        <v>-10</v>
      </c>
      <c r="DW11" s="20"/>
      <c r="DX11" s="9">
        <v>5</v>
      </c>
      <c r="DY11" s="203">
        <f t="shared" si="13"/>
        <v>45823.916666666664</v>
      </c>
      <c r="DZ11" s="204">
        <f>EB11+3/24</f>
        <v>45823.916666666664</v>
      </c>
      <c r="EA11" s="205">
        <f t="shared" si="14"/>
        <v>45823.916666666664</v>
      </c>
      <c r="EB11" s="204">
        <v>45823.791666666664</v>
      </c>
      <c r="ED11" s="196" t="str">
        <f>INDEX(Language!A1:K117,MATCH(Setup!B12,Language!B1:B117,0),MATCH(Setup!C5,Language!A1:J1,0))</f>
        <v>Paris Saint-Germain</v>
      </c>
    </row>
    <row r="12" spans="1:134" x14ac:dyDescent="0.25">
      <c r="A12" s="194">
        <f>VLOOKUP(B12,CW11:CX15,2,FALSE)</f>
        <v>2</v>
      </c>
      <c r="B12" s="195" t="str">
        <f t="shared" ref="B12:B14" si="20">ED12</f>
        <v>Atletico Madrid</v>
      </c>
      <c r="C12" s="194">
        <f>SUMPRODUCT((CZ3:CZ54=B12)*(DD3:DD54="W"))+SUMPRODUCT((DC3:DC54=B12)*(DE3:DE54="W"))</f>
        <v>0</v>
      </c>
      <c r="D12" s="194">
        <f>SUMPRODUCT((CZ3:CZ54=B12)*(DD3:DD54="D"))+SUMPRODUCT((DC3:DC54=B12)*(DE3:DE54="D"))</f>
        <v>0</v>
      </c>
      <c r="E12" s="194">
        <f>SUMPRODUCT((CZ3:CZ54=B12)*(DD3:DD54="L"))+SUMPRODUCT((DC3:DC54=B12)*(DE3:DE54="L"))</f>
        <v>0</v>
      </c>
      <c r="F12" s="194">
        <f>SUMIF(CZ3:CZ72,B12,DA3:DA72)+SUMIF(DC3:DC72,B12,DB3:DB72)</f>
        <v>0</v>
      </c>
      <c r="G12" s="194">
        <f>SUMIF(DC3:DC72,B12,DA3:DA72)+SUMIF(CZ3:CZ72,B12,DB3:DB72)</f>
        <v>0</v>
      </c>
      <c r="H12" s="194">
        <f t="shared" si="16"/>
        <v>1000</v>
      </c>
      <c r="I12" s="194">
        <f t="shared" si="17"/>
        <v>0</v>
      </c>
      <c r="J12" s="194">
        <f>IF(Setup!G13&lt;&gt;"",Setup!G13,23)</f>
        <v>23</v>
      </c>
      <c r="K12" s="194">
        <f>IF(COUNTIF(I11:I15,4)&lt;&gt;4,RANK(I12,I11:I15),I64)</f>
        <v>1</v>
      </c>
      <c r="M12" s="194">
        <f>SUMPRODUCT((K11:K14=K12)*(J11:J14&lt;J12))+K12</f>
        <v>3</v>
      </c>
      <c r="N12" s="195" t="str">
        <f>INDEX(B11:B15,MATCH(2,M11:M15,0),0)</f>
        <v>Botafogo</v>
      </c>
      <c r="O12" s="194">
        <f>INDEX(K11:K15,MATCH(N12,B11:B15,0),0)</f>
        <v>1</v>
      </c>
      <c r="P12" s="194" t="str">
        <f>IF(P11&lt;&gt;"",N12,"")</f>
        <v>Botafogo</v>
      </c>
      <c r="Q12" s="194" t="str">
        <f>IF(Q11&lt;&gt;"",N13,"")</f>
        <v/>
      </c>
      <c r="R12" s="194" t="str">
        <f>IF(R11&lt;&gt;"",N14,"")</f>
        <v/>
      </c>
      <c r="S12" s="194" t="str">
        <f>IF(S11&lt;&gt;"",N15,"")</f>
        <v/>
      </c>
      <c r="U12" s="194" t="str">
        <f t="shared" ref="U12:U14" si="21">IF(P12&lt;&gt;"",P12,"")</f>
        <v>Botafogo</v>
      </c>
      <c r="V12" s="194">
        <f>SUMPRODUCT((CZ3:CZ54=U12)*(DC3:DC54=U13)*(DD3:DD54="W"))+SUMPRODUCT((CZ3:CZ54=U12)*(DC3:DC54=U14)*(DD3:DD54="W"))+SUMPRODUCT((CZ3:CZ54=U12)*(DC3:DC54=U15)*(DD3:DD54="W"))+SUMPRODUCT((CZ3:CZ54=U12)*(DC3:DC54=U11)*(DD3:DD54="W"))+SUMPRODUCT((CZ3:CZ54=U13)*(DC3:DC54=U12)*(DE3:DE54="W"))+SUMPRODUCT((CZ3:CZ54=U14)*(DC3:DC54=U12)*(DE3:DE54="W"))+SUMPRODUCT((CZ3:CZ54=U15)*(DC3:DC54=U12)*(DE3:DE54="W"))+SUMPRODUCT((CZ3:CZ54=U11)*(DC3:DC54=U12)*(DE3:DE54="W"))</f>
        <v>0</v>
      </c>
      <c r="W12" s="194">
        <f>SUMPRODUCT((CZ3:CZ54=U12)*(DC3:DC54=U13)*(DD3:DD54="D"))+SUMPRODUCT((CZ3:CZ54=U12)*(DC3:DC54=U14)*(DD3:DD54="D"))+SUMPRODUCT((CZ3:CZ54=U12)*(DC3:DC54=U15)*(DD3:DD54="D"))+SUMPRODUCT((CZ3:CZ54=U12)*(DC3:DC54=U11)*(DD3:DD54="D"))+SUMPRODUCT((CZ3:CZ54=U13)*(DC3:DC54=U12)*(DD3:DD54="D"))+SUMPRODUCT((CZ3:CZ54=U14)*(DC3:DC54=U12)*(DD3:DD54="D"))+SUMPRODUCT((CZ3:CZ54=U15)*(DC3:DC54=U12)*(DD3:DD54="D"))+SUMPRODUCT((CZ3:CZ54=U11)*(DC3:DC54=U12)*(DD3:DD54="D"))</f>
        <v>0</v>
      </c>
      <c r="X12" s="194">
        <f>SUMPRODUCT((CZ3:CZ54=U12)*(DC3:DC54=U13)*(DD3:DD54="L"))+SUMPRODUCT((CZ3:CZ54=U12)*(DC3:DC54=U14)*(DD3:DD54="L"))+SUMPRODUCT((CZ3:CZ54=U12)*(DC3:DC54=U15)*(DD3:DD54="L"))+SUMPRODUCT((CZ3:CZ54=U12)*(DC3:DC54=U11)*(DD3:DD54="L"))+SUMPRODUCT((CZ3:CZ54=U13)*(DC3:DC54=U12)*(DE3:DE54="L"))+SUMPRODUCT((CZ3:CZ54=U14)*(DC3:DC54=U12)*(DE3:DE54="L"))+SUMPRODUCT((CZ3:CZ54=U15)*(DC3:DC54=U12)*(DE3:DE54="L"))+SUMPRODUCT((CZ3:CZ54=U11)*(DC3:DC54=U12)*(DE3:DE54="L"))</f>
        <v>0</v>
      </c>
      <c r="Y12" s="194">
        <f>SUMPRODUCT((CZ3:CZ54=U12)*(DC3:DC54=U13)*DA3:DA54)+SUMPRODUCT((CZ3:CZ54=U12)*(DC3:DC54=U14)*DA3:DA54)+SUMPRODUCT((CZ3:CZ54=U12)*(DC3:DC54=U15)*DA3:DA54)+SUMPRODUCT((CZ3:CZ54=U12)*(DC3:DC54=U11)*DA3:DA54)+SUMPRODUCT((CZ3:CZ54=U13)*(DC3:DC54=U12)*DB3:DB54)+SUMPRODUCT((CZ3:CZ54=U14)*(DC3:DC54=U12)*DB3:DB54)+SUMPRODUCT((CZ3:CZ54=U15)*(DC3:DC54=U12)*DB3:DB54)+SUMPRODUCT((CZ3:CZ54=U11)*(DC3:DC54=U12)*DB3:DB54)</f>
        <v>0</v>
      </c>
      <c r="Z12" s="194">
        <f>SUMPRODUCT((CZ3:CZ54=U12)*(DC3:DC54=U13)*DB3:DB54)+SUMPRODUCT((CZ3:CZ54=U12)*(DC3:DC54=U14)*DB3:DB54)+SUMPRODUCT((CZ3:CZ54=U12)*(DC3:DC54=U15)*DB3:DB54)+SUMPRODUCT((CZ3:CZ54=U12)*(DC3:DC54=U11)*DB3:DB54)+SUMPRODUCT((CZ3:CZ54=U13)*(DC3:DC54=U12)*DA3:DA54)+SUMPRODUCT((CZ3:CZ54=U14)*(DC3:DC54=U12)*DA3:DA54)+SUMPRODUCT((CZ3:CZ54=U15)*(DC3:DC54=U12)*DA3:DA54)+SUMPRODUCT((CZ3:CZ54=U11)*(DC3:DC54=U12)*DA3:DA54)</f>
        <v>0</v>
      </c>
      <c r="AA12" s="194">
        <f>Y12-Z12+1000</f>
        <v>1000</v>
      </c>
      <c r="AB12" s="194">
        <f t="shared" si="18"/>
        <v>0</v>
      </c>
      <c r="AC12" s="194">
        <f>IF(U12&lt;&gt;"",VLOOKUP(U12,B4:H52,7,FALSE),"")</f>
        <v>1000</v>
      </c>
      <c r="AD12" s="194">
        <f>IF(U12&lt;&gt;"",VLOOKUP(U12,B4:H52,5,FALSE),"")</f>
        <v>0</v>
      </c>
      <c r="AE12" s="194">
        <f>IF(U12&lt;&gt;"",VLOOKUP(U12,B4:J52,9,FALSE),"")</f>
        <v>15</v>
      </c>
      <c r="AF12" s="194">
        <f t="shared" si="19"/>
        <v>0</v>
      </c>
      <c r="AG12" s="194">
        <f>IF(U12&lt;&gt;"",RANK(AF12,AF11:AF15),"")</f>
        <v>1</v>
      </c>
      <c r="AH12" s="194">
        <f>IF(U12&lt;&gt;"",SUMPRODUCT((AF11:AF15=AF12)*(AA11:AA15&gt;AA12)),"")</f>
        <v>0</v>
      </c>
      <c r="AI12" s="194">
        <f>IF(U12&lt;&gt;"",SUMPRODUCT((AF11:AF15=AF12)*(AA11:AA15=AA12)*(Y11:Y15&gt;Y12)),"")</f>
        <v>0</v>
      </c>
      <c r="AJ12" s="194">
        <f>IF(U12&lt;&gt;"",SUMPRODUCT((AF11:AF15=AF12)*(AA11:AA15=AA12)*(Y11:Y15=Y12)*(AC11:AC15&gt;AC12)),"")</f>
        <v>0</v>
      </c>
      <c r="AK12" s="194">
        <f>IF(U12&lt;&gt;"",SUMPRODUCT((AF11:AF15=AF12)*(AA11:AA15=AA12)*(Y11:Y15=Y12)*(AC11:AC15=AC12)*(AD11:AD15&gt;AD12)),"")</f>
        <v>0</v>
      </c>
      <c r="AL12" s="194">
        <f>IF(U12&lt;&gt;"",SUMPRODUCT((AF11:AF15=AF12)*(AA11:AA15=AA12)*(Y11:Y15=Y12)*(AC11:AC15=AC12)*(AD11:AD15=AD12)*(AE11:AE15&gt;AE12)),"")</f>
        <v>2</v>
      </c>
      <c r="AM12" s="194">
        <f>IF(U12&lt;&gt;"",IF(AM64&lt;&gt;"",IF(T62=3,AM64,AM64+T62),SUM(AG12:AL12)),"")</f>
        <v>3</v>
      </c>
      <c r="AN12" s="194" t="str">
        <f>IF(U12&lt;&gt;"",INDEX(U11:U15,MATCH(2,AM11:AM15,0),0),"")</f>
        <v>Atletico Madrid</v>
      </c>
      <c r="AO12" s="194" t="str">
        <f>IF(Q11&lt;&gt;"",Q11,"")</f>
        <v/>
      </c>
      <c r="AP12" s="194">
        <f>SUMPRODUCT((CZ3:CZ54=AO12)*(DC3:DC54=AO13)*(DD3:DD54="W"))+SUMPRODUCT((CZ3:CZ54=AO12)*(DC3:DC54=AO14)*(DD3:DD54="W"))+SUMPRODUCT((CZ3:CZ54=AO12)*(DC3:DC54=AO15)*(DD3:DD54="W"))+SUMPRODUCT((CZ3:CZ54=AO13)*(DC3:DC54=AO12)*(DE3:DE54="W"))+SUMPRODUCT((CZ3:CZ54=AO14)*(DC3:DC54=AO12)*(DE3:DE54="W"))+SUMPRODUCT((CZ3:CZ54=AO15)*(DC3:DC54=AO12)*(DE3:DE54="W"))</f>
        <v>0</v>
      </c>
      <c r="AQ12" s="194">
        <f>SUMPRODUCT((CZ3:CZ54=AO12)*(DC3:DC54=AO13)*(DD3:DD54="D"))+SUMPRODUCT((CZ3:CZ54=AO12)*(DC3:DC54=AO14)*(DD3:DD54="D"))+SUMPRODUCT((CZ3:CZ54=AO12)*(DC3:DC54=AO15)*(DD3:DD54="D"))+SUMPRODUCT((CZ3:CZ54=AO13)*(DC3:DC54=AO12)*(DD3:DD54="D"))+SUMPRODUCT((CZ3:CZ54=AO14)*(DC3:DC54=AO12)*(DD3:DD54="D"))+SUMPRODUCT((CZ3:CZ54=AO15)*(DC3:DC54=AO12)*(DD3:DD54="D"))</f>
        <v>0</v>
      </c>
      <c r="AR12" s="194">
        <f>SUMPRODUCT((CZ3:CZ54=AO12)*(DC3:DC54=AO13)*(DD3:DD54="L"))+SUMPRODUCT((CZ3:CZ54=AO12)*(DC3:DC54=AO14)*(DD3:DD54="L"))+SUMPRODUCT((CZ3:CZ54=AO12)*(DC3:DC54=AO15)*(DD3:DD54="L"))+SUMPRODUCT((CZ3:CZ54=AO13)*(DC3:DC54=AO12)*(DE3:DE54="L"))+SUMPRODUCT((CZ3:CZ54=AO14)*(DC3:DC54=AO12)*(DE3:DE54="L"))+SUMPRODUCT((CZ3:CZ54=AO15)*(DC3:DC54=AO12)*(DE3:DE54="L"))</f>
        <v>0</v>
      </c>
      <c r="AS12" s="194">
        <f>SUMPRODUCT((CZ3:CZ54=AO12)*(DC3:DC54=AO13)*DA3:DA54)+SUMPRODUCT((CZ3:CZ54=AO12)*(DC3:DC54=AO14)*DA3:DA54)+SUMPRODUCT((CZ3:CZ54=AO12)*(DC3:DC54=AO15)*DA3:DA54)+SUMPRODUCT((CZ3:CZ54=AO12)*(DC3:DC54=AO11)*DA3:DA54)+SUMPRODUCT((CZ3:CZ54=AO13)*(DC3:DC54=AO12)*DB3:DB54)+SUMPRODUCT((CZ3:CZ54=AO14)*(DC3:DC54=AO12)*DB3:DB54)+SUMPRODUCT((CZ3:CZ54=AO15)*(DC3:DC54=AO12)*DB3:DB54)+SUMPRODUCT((CZ3:CZ54=AO11)*(DC3:DC54=AO12)*DB3:DB54)</f>
        <v>0</v>
      </c>
      <c r="AT12" s="194">
        <f>SUMPRODUCT((CZ3:CZ54=AO12)*(DC3:DC54=AO13)*DB3:DB54)+SUMPRODUCT((CZ3:CZ54=AO12)*(DC3:DC54=AO14)*DB3:DB54)+SUMPRODUCT((CZ3:CZ54=AO12)*(DC3:DC54=AO15)*DB3:DB54)+SUMPRODUCT((CZ3:CZ54=AO12)*(DC3:DC54=AO11)*DB3:DB54)+SUMPRODUCT((CZ3:CZ54=AO13)*(DC3:DC54=AO12)*DA3:DA54)+SUMPRODUCT((CZ3:CZ54=AO14)*(DC3:DC54=AO12)*DA3:DA54)+SUMPRODUCT((CZ3:CZ54=AO15)*(DC3:DC54=AO12)*DA3:DA54)+SUMPRODUCT((CZ3:CZ54=AO11)*(DC3:DC54=AO12)*DA3:DA54)</f>
        <v>0</v>
      </c>
      <c r="AU12" s="194">
        <f>AS12-AT12+1000</f>
        <v>1000</v>
      </c>
      <c r="AV12" s="194" t="str">
        <f t="shared" ref="AV12:AV14" si="22">IF(AO12&lt;&gt;"",AP12*3+AQ12*1,"")</f>
        <v/>
      </c>
      <c r="AW12" s="194" t="str">
        <f>IF(AO12&lt;&gt;"",VLOOKUP(AO12,B4:H52,7,FALSE),"")</f>
        <v/>
      </c>
      <c r="AX12" s="194" t="str">
        <f>IF(AO12&lt;&gt;"",VLOOKUP(AO12,B4:H52,5,FALSE),"")</f>
        <v/>
      </c>
      <c r="AY12" s="194" t="str">
        <f>IF(AO12&lt;&gt;"",VLOOKUP(AO12,B4:J52,9,FALSE),"")</f>
        <v/>
      </c>
      <c r="AZ12" s="194" t="str">
        <f t="shared" ref="AZ12:AZ14" si="23">AV12</f>
        <v/>
      </c>
      <c r="BA12" s="194" t="str">
        <f>IF(AO12&lt;&gt;"",RANK(AZ12,AZ11:AZ15),"")</f>
        <v/>
      </c>
      <c r="BB12" s="194" t="str">
        <f>IF(AO12&lt;&gt;"",SUMPRODUCT((AZ11:AZ15=AZ12)*(AU11:AU15&gt;AU12)),"")</f>
        <v/>
      </c>
      <c r="BC12" s="194" t="str">
        <f>IF(AO12&lt;&gt;"",SUMPRODUCT((AZ11:AZ15=AZ12)*(AU11:AU15=AU12)*(AS11:AS15&gt;AS12)),"")</f>
        <v/>
      </c>
      <c r="BD12" s="194" t="str">
        <f>IF(AO12&lt;&gt;"",SUMPRODUCT((AZ11:AZ15=AZ12)*(AU11:AU15=AU12)*(AS11:AS15=AS12)*(AW11:AW15&gt;AW12)),"")</f>
        <v/>
      </c>
      <c r="BE12" s="194" t="str">
        <f>IF(AO12&lt;&gt;"",SUMPRODUCT((AZ11:AZ15=AZ12)*(AU11:AU15=AU12)*(AS11:AS15=AS12)*(AW11:AW15=AW12)*(AX11:AX15&gt;AX12)),"")</f>
        <v/>
      </c>
      <c r="BF12" s="194" t="str">
        <f>IF(AO12&lt;&gt;"",SUMPRODUCT((AZ11:AZ15=AZ12)*(AU11:AU15=AU12)*(AS11:AS15=AS12)*(AW11:AW15=AW12)*(AX11:AX15=AX12)*(AY11:AY15&gt;AY12)),"")</f>
        <v/>
      </c>
      <c r="BG12" s="194" t="str">
        <f>IF(AO12&lt;&gt;"",IF(BG64&lt;&gt;"",IF(AN62=3,BG64,BG64+AN62),SUM(BA12:BF12)+1),"")</f>
        <v/>
      </c>
      <c r="BH12" s="194" t="str">
        <f>IF(AO12&lt;&gt;"",INDEX(AO12:AO15,MATCH(2,BG12:BG15,0),0),"")</f>
        <v/>
      </c>
      <c r="CW12" s="194" t="str">
        <f>IF(BH12&lt;&gt;"",BH12,IF(AN12&lt;&gt;"",AN12,N12))</f>
        <v>Atletico Madrid</v>
      </c>
      <c r="CX12" s="194">
        <v>2</v>
      </c>
      <c r="CY12" s="194">
        <v>10</v>
      </c>
      <c r="CZ12" s="194" t="str">
        <f>Matches!H13</f>
        <v>River Plate</v>
      </c>
      <c r="DA12" s="194">
        <f>IF(CZ2&lt;&gt;"",IF(AND(Matches!J13&lt;&gt;"",Matches!K13&lt;&gt;""),Matches!J13,0),"")</f>
        <v>0</v>
      </c>
      <c r="DB12" s="194">
        <f>IF(CZ2&lt;&gt;"",IF(AND(Matches!J13&lt;&gt;"",Matches!K13&lt;&gt;""),Matches!K13,0),"")</f>
        <v>0</v>
      </c>
      <c r="DC12" s="194" t="str">
        <f>Matches!M13</f>
        <v>Urawa Red Diamonds</v>
      </c>
      <c r="DD12" s="194" t="str">
        <f>IF(AND(Matches!J13&lt;&gt;"",Matches!K13&lt;&gt;""),IF(DA12&gt;DB12,"W",IF(DA12=DB12,"D","L")),"")</f>
        <v/>
      </c>
      <c r="DE12" s="194" t="str">
        <f t="shared" si="0"/>
        <v/>
      </c>
      <c r="DH12" s="202"/>
      <c r="DN12" s="20" t="str">
        <f>Setup!E13</f>
        <v>ESP</v>
      </c>
      <c r="DP12" s="212"/>
      <c r="DQ12" s="199"/>
      <c r="DR12" s="200" t="str">
        <f t="shared" si="15"/>
        <v>Atletico Madrid</v>
      </c>
      <c r="DS12" s="201" t="s">
        <v>609</v>
      </c>
      <c r="DT12" s="200"/>
      <c r="DU12" s="196">
        <v>6</v>
      </c>
      <c r="DV12" s="202">
        <v>-9.5</v>
      </c>
      <c r="DW12" s="20"/>
      <c r="DX12" s="9">
        <v>6</v>
      </c>
      <c r="DY12" s="203">
        <f t="shared" si="13"/>
        <v>45824.625</v>
      </c>
      <c r="DZ12" s="204">
        <v>45824.625</v>
      </c>
      <c r="EA12" s="205">
        <f t="shared" si="14"/>
        <v>45824.625</v>
      </c>
      <c r="EB12" s="204">
        <v>45824.625</v>
      </c>
      <c r="ED12" s="196" t="str">
        <f>INDEX(Language!A1:K117,MATCH(Setup!B13,Language!B1:B117,0),MATCH(Setup!C5,Language!A1:J1,0))</f>
        <v>Atletico Madrid</v>
      </c>
    </row>
    <row r="13" spans="1:134" x14ac:dyDescent="0.25">
      <c r="A13" s="194">
        <f>VLOOKUP(B13,CW11:CX15,2,FALSE)</f>
        <v>3</v>
      </c>
      <c r="B13" s="195" t="str">
        <f t="shared" si="20"/>
        <v>Botafogo</v>
      </c>
      <c r="C13" s="194">
        <f>SUMPRODUCT((CZ3:CZ54=B13)*(DD3:DD54="W"))+SUMPRODUCT((DC3:DC54=B13)*(DE3:DE54="W"))</f>
        <v>0</v>
      </c>
      <c r="D13" s="194">
        <f>SUMPRODUCT((CZ3:CZ54=B13)*(DD3:DD54="D"))+SUMPRODUCT((DC3:DC54=B13)*(DE3:DE54="D"))</f>
        <v>0</v>
      </c>
      <c r="E13" s="194">
        <f>SUMPRODUCT((CZ3:CZ54=B13)*(DD3:DD54="L"))+SUMPRODUCT((DC3:DC54=B13)*(DE3:DE54="L"))</f>
        <v>0</v>
      </c>
      <c r="F13" s="194">
        <f>SUMIF(CZ3:CZ72,B13,DA3:DA72)+SUMIF(DC3:DC72,B13,DB3:DB72)</f>
        <v>0</v>
      </c>
      <c r="G13" s="194">
        <f>SUMIF(DC3:DC72,B13,DA3:DA72)+SUMIF(CZ3:CZ72,B13,DB3:DB72)</f>
        <v>0</v>
      </c>
      <c r="H13" s="194">
        <f t="shared" si="16"/>
        <v>1000</v>
      </c>
      <c r="I13" s="194">
        <f t="shared" si="17"/>
        <v>0</v>
      </c>
      <c r="J13" s="194">
        <f>IF(Setup!G14&lt;&gt;"",Setup!G14,15)</f>
        <v>15</v>
      </c>
      <c r="K13" s="194">
        <f>IF(COUNTIF(I11:I15,4)&lt;&gt;4,RANK(I13,I11:I15),I65)</f>
        <v>1</v>
      </c>
      <c r="M13" s="194">
        <f>SUMPRODUCT((K11:K14=K13)*(J11:J14&lt;J13))+K13</f>
        <v>2</v>
      </c>
      <c r="N13" s="195" t="str">
        <f>INDEX(B11:B15,MATCH(3,M11:M15,0),0)</f>
        <v>Atletico Madrid</v>
      </c>
      <c r="O13" s="194">
        <f>INDEX(K11:K15,MATCH(N13,B11:B15,0),0)</f>
        <v>1</v>
      </c>
      <c r="P13" s="194" t="str">
        <f>IF(AND(P12&lt;&gt;"",O13=1),N13,"")</f>
        <v>Atletico Madrid</v>
      </c>
      <c r="Q13" s="194" t="str">
        <f>IF(AND(Q12&lt;&gt;"",O14=2),N14,"")</f>
        <v/>
      </c>
      <c r="R13" s="194" t="str">
        <f>IF(AND(R12&lt;&gt;"",O15=3),N15,"")</f>
        <v/>
      </c>
      <c r="U13" s="194" t="str">
        <f t="shared" si="21"/>
        <v>Atletico Madrid</v>
      </c>
      <c r="V13" s="194">
        <f>SUMPRODUCT((CZ3:CZ54=U13)*(DC3:DC54=U14)*(DD3:DD54="W"))+SUMPRODUCT((CZ3:CZ54=U13)*(DC3:DC54=U15)*(DD3:DD54="W"))+SUMPRODUCT((CZ3:CZ54=U13)*(DC3:DC54=U11)*(DD3:DD54="W"))+SUMPRODUCT((CZ3:CZ54=U13)*(DC3:DC54=U12)*(DD3:DD54="W"))+SUMPRODUCT((CZ3:CZ54=U14)*(DC3:DC54=U13)*(DE3:DE54="W"))+SUMPRODUCT((CZ3:CZ54=U15)*(DC3:DC54=U13)*(DE3:DE54="W"))+SUMPRODUCT((CZ3:CZ54=U11)*(DC3:DC54=U13)*(DE3:DE54="W"))+SUMPRODUCT((CZ3:CZ54=U12)*(DC3:DC54=U13)*(DE3:DE54="W"))</f>
        <v>0</v>
      </c>
      <c r="W13" s="194">
        <f>SUMPRODUCT((CZ3:CZ54=U13)*(DC3:DC54=U14)*(DD3:DD54="D"))+SUMPRODUCT((CZ3:CZ54=U13)*(DC3:DC54=U15)*(DD3:DD54="D"))+SUMPRODUCT((CZ3:CZ54=U13)*(DC3:DC54=U11)*(DD3:DD54="D"))+SUMPRODUCT((CZ3:CZ54=U13)*(DC3:DC54=U12)*(DD3:DD54="D"))+SUMPRODUCT((CZ3:CZ54=U14)*(DC3:DC54=U13)*(DD3:DD54="D"))+SUMPRODUCT((CZ3:CZ54=U15)*(DC3:DC54=U13)*(DD3:DD54="D"))+SUMPRODUCT((CZ3:CZ54=U11)*(DC3:DC54=U13)*(DD3:DD54="D"))+SUMPRODUCT((CZ3:CZ54=U12)*(DC3:DC54=U13)*(DD3:DD54="D"))</f>
        <v>0</v>
      </c>
      <c r="X13" s="194">
        <f>SUMPRODUCT((CZ3:CZ54=U13)*(DC3:DC54=U14)*(DD3:DD54="L"))+SUMPRODUCT((CZ3:CZ54=U13)*(DC3:DC54=U15)*(DD3:DD54="L"))+SUMPRODUCT((CZ3:CZ54=U13)*(DC3:DC54=U11)*(DD3:DD54="L"))+SUMPRODUCT((CZ3:CZ54=U13)*(DC3:DC54=U12)*(DD3:DD54="L"))+SUMPRODUCT((CZ3:CZ54=U14)*(DC3:DC54=U13)*(DE3:DE54="L"))+SUMPRODUCT((CZ3:CZ54=U15)*(DC3:DC54=U13)*(DE3:DE54="L"))+SUMPRODUCT((CZ3:CZ54=U11)*(DC3:DC54=U13)*(DE3:DE54="L"))+SUMPRODUCT((CZ3:CZ54=U12)*(DC3:DC54=U13)*(DE3:DE54="L"))</f>
        <v>0</v>
      </c>
      <c r="Y13" s="194">
        <f>SUMPRODUCT((CZ3:CZ54=U13)*(DC3:DC54=U14)*DA3:DA54)+SUMPRODUCT((CZ3:CZ54=U13)*(DC3:DC54=U15)*DA3:DA54)+SUMPRODUCT((CZ3:CZ54=U13)*(DC3:DC54=U11)*DA3:DA54)+SUMPRODUCT((CZ3:CZ54=U13)*(DC3:DC54=U12)*DA3:DA54)+SUMPRODUCT((CZ3:CZ54=U14)*(DC3:DC54=U13)*DB3:DB54)+SUMPRODUCT((CZ3:CZ54=U15)*(DC3:DC54=U13)*DB3:DB54)+SUMPRODUCT((CZ3:CZ54=U11)*(DC3:DC54=U13)*DB3:DB54)+SUMPRODUCT((CZ3:CZ54=U12)*(DC3:DC54=U13)*DB3:DB54)</f>
        <v>0</v>
      </c>
      <c r="Z13" s="194">
        <f>SUMPRODUCT((CZ3:CZ54=U13)*(DC3:DC54=U14)*DB3:DB54)+SUMPRODUCT((CZ3:CZ54=U13)*(DC3:DC54=U15)*DB3:DB54)+SUMPRODUCT((CZ3:CZ54=U13)*(DC3:DC54=U11)*DB3:DB54)+SUMPRODUCT((CZ3:CZ54=U13)*(DC3:DC54=U12)*DB3:DB54)+SUMPRODUCT((CZ3:CZ54=U14)*(DC3:DC54=U13)*DA3:DA54)+SUMPRODUCT((CZ3:CZ54=U15)*(DC3:DC54=U13)*DA3:DA54)+SUMPRODUCT((CZ3:CZ54=U11)*(DC3:DC54=U13)*DA3:DA54)+SUMPRODUCT((CZ3:CZ54=U12)*(DC3:DC54=U13)*DA3:DA54)</f>
        <v>0</v>
      </c>
      <c r="AA13" s="194">
        <f>Y13-Z13+1000</f>
        <v>1000</v>
      </c>
      <c r="AB13" s="194">
        <f t="shared" si="18"/>
        <v>0</v>
      </c>
      <c r="AC13" s="194">
        <f>IF(U13&lt;&gt;"",VLOOKUP(U13,B4:H52,7,FALSE),"")</f>
        <v>1000</v>
      </c>
      <c r="AD13" s="194">
        <f>IF(U13&lt;&gt;"",VLOOKUP(U13,B4:H52,5,FALSE),"")</f>
        <v>0</v>
      </c>
      <c r="AE13" s="194">
        <f>IF(U13&lt;&gt;"",VLOOKUP(U13,B4:J52,9,FALSE),"")</f>
        <v>23</v>
      </c>
      <c r="AF13" s="194">
        <f t="shared" si="19"/>
        <v>0</v>
      </c>
      <c r="AG13" s="194">
        <f>IF(U13&lt;&gt;"",RANK(AF13,AF11:AF15),"")</f>
        <v>1</v>
      </c>
      <c r="AH13" s="194">
        <f>IF(U13&lt;&gt;"",SUMPRODUCT((AF11:AF15=AF13)*(AA11:AA15&gt;AA13)),"")</f>
        <v>0</v>
      </c>
      <c r="AI13" s="194">
        <f>IF(U13&lt;&gt;"",SUMPRODUCT((AF11:AF15=AF13)*(AA11:AA15=AA13)*(Y11:Y15&gt;Y13)),"")</f>
        <v>0</v>
      </c>
      <c r="AJ13" s="194">
        <f>IF(U13&lt;&gt;"",SUMPRODUCT((AF11:AF15=AF13)*(AA11:AA15=AA13)*(Y11:Y15=Y13)*(AC11:AC15&gt;AC13)),"")</f>
        <v>0</v>
      </c>
      <c r="AK13" s="194">
        <f>IF(U13&lt;&gt;"",SUMPRODUCT((AF11:AF15=AF13)*(AA11:AA15=AA13)*(Y11:Y15=Y13)*(AC11:AC15=AC13)*(AD11:AD15&gt;AD13)),"")</f>
        <v>0</v>
      </c>
      <c r="AL13" s="194">
        <f>IF(U13&lt;&gt;"",SUMPRODUCT((AF11:AF15=AF13)*(AA11:AA15=AA13)*(Y11:Y15=Y13)*(AC11:AC15=AC13)*(AD11:AD15=AD13)*(AE11:AE15&gt;AE13)),"")</f>
        <v>1</v>
      </c>
      <c r="AM13" s="194">
        <f>IF(U13&lt;&gt;"",IF(AM65&lt;&gt;"",IF(T62=3,AM65,AM65+T62),SUM(AG13:AL13)),"")</f>
        <v>2</v>
      </c>
      <c r="AN13" s="194" t="str">
        <f>IF(U13&lt;&gt;"",INDEX(U11:U15,MATCH(3,AM11:AM15,0),0),"")</f>
        <v>Botafogo</v>
      </c>
      <c r="AO13" s="194" t="str">
        <f>IF(Q12&lt;&gt;"",Q12,"")</f>
        <v/>
      </c>
      <c r="AP13" s="194">
        <f>SUMPRODUCT((CZ3:CZ54=AO13)*(DC3:DC54=AO14)*(DD3:DD54="W"))+SUMPRODUCT((CZ3:CZ54=AO13)*(DC3:DC54=AO15)*(DD3:DD54="W"))+SUMPRODUCT((CZ3:CZ54=AO13)*(DC3:DC54=AO12)*(DD3:DD54="W"))+SUMPRODUCT((CZ3:CZ54=AO14)*(DC3:DC54=AO13)*(DE3:DE54="W"))+SUMPRODUCT((CZ3:CZ54=AO15)*(DC3:DC54=AO13)*(DE3:DE54="W"))+SUMPRODUCT((CZ3:CZ54=AO12)*(DC3:DC54=AO13)*(DE3:DE54="W"))</f>
        <v>0</v>
      </c>
      <c r="AQ13" s="194">
        <f>SUMPRODUCT((CZ3:CZ54=AO13)*(DC3:DC54=AO14)*(DD3:DD54="D"))+SUMPRODUCT((CZ3:CZ54=AO13)*(DC3:DC54=AO15)*(DD3:DD54="D"))+SUMPRODUCT((CZ3:CZ54=AO13)*(DC3:DC54=AO12)*(DD3:DD54="D"))+SUMPRODUCT((CZ3:CZ54=AO14)*(DC3:DC54=AO13)*(DD3:DD54="D"))+SUMPRODUCT((CZ3:CZ54=AO15)*(DC3:DC54=AO13)*(DD3:DD54="D"))+SUMPRODUCT((CZ3:CZ54=AO12)*(DC3:DC54=AO13)*(DD3:DD54="D"))</f>
        <v>0</v>
      </c>
      <c r="AR13" s="194">
        <f>SUMPRODUCT((CZ3:CZ54=AO13)*(DC3:DC54=AO14)*(DD3:DD54="L"))+SUMPRODUCT((CZ3:CZ54=AO13)*(DC3:DC54=AO15)*(DD3:DD54="L"))+SUMPRODUCT((CZ3:CZ54=AO13)*(DC3:DC54=AO12)*(DD3:DD54="L"))+SUMPRODUCT((CZ3:CZ54=AO14)*(DC3:DC54=AO13)*(DE3:DE54="L"))+SUMPRODUCT((CZ3:CZ54=AO15)*(DC3:DC54=AO13)*(DE3:DE54="L"))+SUMPRODUCT((CZ3:CZ54=AO12)*(DC3:DC54=AO13)*(DE3:DE54="L"))</f>
        <v>0</v>
      </c>
      <c r="AS13" s="194">
        <f>SUMPRODUCT((CZ3:CZ54=AO13)*(DC3:DC54=AO14)*DA3:DA54)+SUMPRODUCT((CZ3:CZ54=AO13)*(DC3:DC54=AO15)*DA3:DA54)+SUMPRODUCT((CZ3:CZ54=AO13)*(DC3:DC54=AO11)*DA3:DA54)+SUMPRODUCT((CZ3:CZ54=AO13)*(DC3:DC54=AO12)*DA3:DA54)+SUMPRODUCT((CZ3:CZ54=AO14)*(DC3:DC54=AO13)*DB3:DB54)+SUMPRODUCT((CZ3:CZ54=AO15)*(DC3:DC54=AO13)*DB3:DB54)+SUMPRODUCT((CZ3:CZ54=AO11)*(DC3:DC54=AO13)*DB3:DB54)+SUMPRODUCT((CZ3:CZ54=AO12)*(DC3:DC54=AO13)*DB3:DB54)</f>
        <v>0</v>
      </c>
      <c r="AT13" s="194">
        <f>SUMPRODUCT((CZ3:CZ54=AO13)*(DC3:DC54=AO14)*DB3:DB54)+SUMPRODUCT((CZ3:CZ54=AO13)*(DC3:DC54=AO15)*DB3:DB54)+SUMPRODUCT((CZ3:CZ54=AO13)*(DC3:DC54=AO11)*DB3:DB54)+SUMPRODUCT((CZ3:CZ54=AO13)*(DC3:DC54=AO12)*DB3:DB54)+SUMPRODUCT((CZ3:CZ54=AO14)*(DC3:DC54=AO13)*DA3:DA54)+SUMPRODUCT((CZ3:CZ54=AO15)*(DC3:DC54=AO13)*DA3:DA54)+SUMPRODUCT((CZ3:CZ54=AO11)*(DC3:DC54=AO13)*DA3:DA54)+SUMPRODUCT((CZ3:CZ54=AO12)*(DC3:DC54=AO13)*DA3:DA54)</f>
        <v>0</v>
      </c>
      <c r="AU13" s="194">
        <f>AS13-AT13+1000</f>
        <v>1000</v>
      </c>
      <c r="AV13" s="194" t="str">
        <f t="shared" si="22"/>
        <v/>
      </c>
      <c r="AW13" s="194" t="str">
        <f>IF(AO13&lt;&gt;"",VLOOKUP(AO13,B4:H52,7,FALSE),"")</f>
        <v/>
      </c>
      <c r="AX13" s="194" t="str">
        <f>IF(AO13&lt;&gt;"",VLOOKUP(AO13,B4:H52,5,FALSE),"")</f>
        <v/>
      </c>
      <c r="AY13" s="194" t="str">
        <f>IF(AO13&lt;&gt;"",VLOOKUP(AO13,B4:J52,9,FALSE),"")</f>
        <v/>
      </c>
      <c r="AZ13" s="194" t="str">
        <f t="shared" si="23"/>
        <v/>
      </c>
      <c r="BA13" s="194" t="str">
        <f>IF(AO13&lt;&gt;"",RANK(AZ13,AZ11:AZ15),"")</f>
        <v/>
      </c>
      <c r="BB13" s="194" t="str">
        <f>IF(AO13&lt;&gt;"",SUMPRODUCT((AZ11:AZ15=AZ13)*(AU11:AU15&gt;AU13)),"")</f>
        <v/>
      </c>
      <c r="BC13" s="194" t="str">
        <f>IF(AO13&lt;&gt;"",SUMPRODUCT((AZ11:AZ15=AZ13)*(AU11:AU15=AU13)*(AS11:AS15&gt;AS13)),"")</f>
        <v/>
      </c>
      <c r="BD13" s="194" t="str">
        <f>IF(AO13&lt;&gt;"",SUMPRODUCT((AZ11:AZ15=AZ13)*(AU11:AU15=AU13)*(AS11:AS15=AS13)*(AW11:AW15&gt;AW13)),"")</f>
        <v/>
      </c>
      <c r="BE13" s="194" t="str">
        <f>IF(AO13&lt;&gt;"",SUMPRODUCT((AZ11:AZ15=AZ13)*(AU11:AU15=AU13)*(AS11:AS15=AS13)*(AW11:AW15=AW13)*(AX11:AX15&gt;AX13)),"")</f>
        <v/>
      </c>
      <c r="BF13" s="194" t="str">
        <f>IF(AO13&lt;&gt;"",SUMPRODUCT((AZ11:AZ15=AZ13)*(AU11:AU15=AU13)*(AS11:AS15=AS13)*(AW11:AW15=AW13)*(AX11:AX15=AX13)*(AY11:AY15&gt;AY13)),"")</f>
        <v/>
      </c>
      <c r="BG13" s="194" t="str">
        <f>IF(AO13&lt;&gt;"",IF(BG65&lt;&gt;"",IF(AN62=3,BG65,BG65+AN62),SUM(BA13:BF13)+1),"")</f>
        <v/>
      </c>
      <c r="BH13" s="194" t="str">
        <f>IF(AO13&lt;&gt;"",INDEX(AO12:AO15,MATCH(3,BG12:BG15,0),0),"")</f>
        <v/>
      </c>
      <c r="BI13" s="194" t="str">
        <f>IF(R11&lt;&gt;"",R11,"")</f>
        <v/>
      </c>
      <c r="BJ13" s="194">
        <f>SUMPRODUCT((CZ3:CZ54=BI13)*(DC3:DC54=BI14)*(DD3:DD54="W"))+SUMPRODUCT((CZ3:CZ54=BI13)*(DC3:DC54=BI15)*(DD3:DD54="W"))+SUMPRODUCT((CZ3:CZ54=BI13)*(DC3:DC54=BI16)*(DD3:DD54="W"))+SUMPRODUCT((CZ3:CZ54=BI14)*(DC3:DC54=BI13)*(DE3:DE54="W"))+SUMPRODUCT((CZ3:CZ54=BI15)*(DC3:DC54=BI13)*(DE3:DE54="W"))+SUMPRODUCT((CZ3:CZ54=BI16)*(DC3:DC54=BI13)*(DE3:DE54="W"))</f>
        <v>0</v>
      </c>
      <c r="BK13" s="194">
        <f>SUMPRODUCT((CZ3:CZ54=BI13)*(DC3:DC54=BI14)*(DD3:DD54="D"))+SUMPRODUCT((CZ3:CZ54=BI13)*(DC3:DC54=BI15)*(DD3:DD54="D"))+SUMPRODUCT((CZ3:CZ54=BI13)*(DC3:DC54=BI16)*(DD3:DD54="D"))+SUMPRODUCT((CZ3:CZ54=BI14)*(DC3:DC54=BI13)*(DD3:DD54="D"))+SUMPRODUCT((CZ3:CZ54=BI15)*(DC3:DC54=BI13)*(DD3:DD54="D"))+SUMPRODUCT((CZ3:CZ54=BI16)*(DC3:DC54=BI13)*(DD3:DD54="D"))</f>
        <v>0</v>
      </c>
      <c r="BL13" s="194">
        <f>SUMPRODUCT((CZ3:CZ54=BI13)*(DC3:DC54=BI14)*(DD3:DD54="L"))+SUMPRODUCT((CZ3:CZ54=BI13)*(DC3:DC54=BI15)*(DD3:DD54="L"))+SUMPRODUCT((CZ3:CZ54=BI13)*(DC3:DC54=BI16)*(DD3:DD54="L"))+SUMPRODUCT((CZ3:CZ54=BI14)*(DC3:DC54=BI13)*(DE3:DE54="L"))+SUMPRODUCT((CZ3:CZ54=BI15)*(DC3:DC54=BI13)*(DE3:DE54="L"))+SUMPRODUCT((CZ3:CZ54=BI16)*(DC3:DC54=BI13)*(DE3:DE54="L"))</f>
        <v>0</v>
      </c>
      <c r="BM13" s="194">
        <f>SUMPRODUCT((CZ3:CZ54=BI13)*(DC3:DC54=BI14)*DA3:DA54)+SUMPRODUCT((CZ3:CZ54=BI13)*(DC3:DC54=BI15)*DA3:DA54)+SUMPRODUCT((CZ3:CZ54=BI13)*(DC3:DC54=BI11)*DA3:DA54)+SUMPRODUCT((CZ3:CZ54=BI13)*(DC3:DC54=BI12)*DA3:DA54)+SUMPRODUCT((CZ3:CZ54=BI14)*(DC3:DC54=BI13)*DB3:DB54)+SUMPRODUCT((CZ3:CZ54=BI15)*(DC3:DC54=BI13)*DB3:DB54)+SUMPRODUCT((CZ3:CZ54=BI11)*(DC3:DC54=BI13)*DB3:DB54)+SUMPRODUCT((CZ3:CZ54=BI12)*(DC3:DC54=BI13)*DB3:DB54)</f>
        <v>0</v>
      </c>
      <c r="BN13" s="194">
        <f>SUMPRODUCT((CZ3:CZ54=BI13)*(DC3:DC54=BI14)*DB3:DB54)+SUMPRODUCT((CZ3:CZ54=BI13)*(DC3:DC54=BI15)*DB3:DB54)+SUMPRODUCT((CZ3:CZ54=BI13)*(DC3:DC54=BI11)*DB3:DB54)+SUMPRODUCT((CZ3:CZ54=BI13)*(DC3:DC54=BI12)*DB3:DB54)+SUMPRODUCT((CZ3:CZ54=BI14)*(DC3:DC54=BI13)*DA3:DA54)+SUMPRODUCT((CZ3:CZ54=BI15)*(DC3:DC54=BI13)*DA3:DA54)+SUMPRODUCT((CZ3:CZ54=BI11)*(DC3:DC54=BI13)*DA3:DA54)+SUMPRODUCT((CZ3:CZ54=BI12)*(DC3:DC54=BI13)*DA3:DA54)</f>
        <v>0</v>
      </c>
      <c r="BO13" s="194">
        <f>BM13-BN13+1000</f>
        <v>1000</v>
      </c>
      <c r="BP13" s="194" t="str">
        <f t="shared" ref="BP13:BP14" si="24">IF(BI13&lt;&gt;"",BJ13*3+BK13*1,"")</f>
        <v/>
      </c>
      <c r="BQ13" s="194" t="str">
        <f>IF(BI13&lt;&gt;"",VLOOKUP(BI13,B4:H52,7,FALSE),"")</f>
        <v/>
      </c>
      <c r="BR13" s="194" t="str">
        <f>IF(BI13&lt;&gt;"",VLOOKUP(BI13,B4:H52,5,FALSE),"")</f>
        <v/>
      </c>
      <c r="BS13" s="194" t="str">
        <f>IF(BI13&lt;&gt;"",VLOOKUP(BI13,B4:J52,9,FALSE),"")</f>
        <v/>
      </c>
      <c r="BT13" s="194" t="str">
        <f t="shared" ref="BT13:BT14" si="25">BP13</f>
        <v/>
      </c>
      <c r="BU13" s="194" t="str">
        <f>IF(BI13&lt;&gt;"",RANK(BT13,BT11:BT15),"")</f>
        <v/>
      </c>
      <c r="BV13" s="194" t="str">
        <f>IF(BI13&lt;&gt;"",SUMPRODUCT((BT11:BT15=BT13)*(BO11:BO15&gt;BO13)),"")</f>
        <v/>
      </c>
      <c r="BW13" s="194" t="str">
        <f>IF(BI13&lt;&gt;"",SUMPRODUCT((BT11:BT15=BT13)*(BO11:BO15=BO13)*(BM11:BM15&gt;BM13)),"")</f>
        <v/>
      </c>
      <c r="BX13" s="194" t="str">
        <f>IF(BI13&lt;&gt;"",SUMPRODUCT((BT11:BT15=BT13)*(BO11:BO15=BO13)*(BM11:BM15=BM13)*(BQ11:BQ15&gt;BQ13)),"")</f>
        <v/>
      </c>
      <c r="BY13" s="194" t="str">
        <f>IF(BI13&lt;&gt;"",SUMPRODUCT((BT11:BT15=BT13)*(BO11:BO15=BO13)*(BM11:BM15=BM13)*(BQ11:BQ15=BQ13)*(BR11:BR15&gt;BR13)),"")</f>
        <v/>
      </c>
      <c r="BZ13" s="194" t="str">
        <f>IF(BI13&lt;&gt;"",SUMPRODUCT((BT11:BT15=BT13)*(BO11:BO15=BO13)*(BM11:BM15=BM13)*(BQ11:BQ15=BQ13)*(BR11:BR15=BR13)*(BS11:BS15&gt;BS13)),"")</f>
        <v/>
      </c>
      <c r="CA13" s="194" t="str">
        <f>IF(BI13&lt;&gt;"",SUM(BU13:BZ13)+2,"")</f>
        <v/>
      </c>
      <c r="CB13" s="194" t="str">
        <f>IF(BI13&lt;&gt;"",INDEX(BI13:BI15,MATCH(3,CA13:CA15,0),0),"")</f>
        <v/>
      </c>
      <c r="CW13" s="194" t="str">
        <f>IF(CB13&lt;&gt;"",CB13,IF(BH13&lt;&gt;"",BH13,IF(AN13&lt;&gt;"",AN13,N13)))</f>
        <v>Botafogo</v>
      </c>
      <c r="CX13" s="194">
        <v>3</v>
      </c>
      <c r="CY13" s="194">
        <v>11</v>
      </c>
      <c r="CZ13" s="194" t="str">
        <f>Matches!H14</f>
        <v>Ulsan HD</v>
      </c>
      <c r="DA13" s="194">
        <f>IF(CZ2&lt;&gt;"",IF(AND(Matches!J14&lt;&gt;"",Matches!K14&lt;&gt;""),Matches!J14,0),"")</f>
        <v>0</v>
      </c>
      <c r="DB13" s="194">
        <f>IF(CZ2&lt;&gt;"",IF(AND(Matches!J14&lt;&gt;"",Matches!K14&lt;&gt;""),Matches!K14,0),"")</f>
        <v>0</v>
      </c>
      <c r="DC13" s="194" t="str">
        <f>Matches!M14</f>
        <v>Mamelodi Sundowns</v>
      </c>
      <c r="DD13" s="194" t="str">
        <f>IF(AND(Matches!J14&lt;&gt;"",Matches!K14&lt;&gt;""),IF(DA13&gt;DB13,"W",IF(DA13=DB13,"D","L")),"")</f>
        <v/>
      </c>
      <c r="DE13" s="194" t="str">
        <f t="shared" si="0"/>
        <v/>
      </c>
      <c r="DH13" s="202"/>
      <c r="DN13" s="20" t="str">
        <f>Setup!E14</f>
        <v>BRA</v>
      </c>
      <c r="DP13" s="212"/>
      <c r="DQ13" s="199"/>
      <c r="DR13" s="200" t="str">
        <f t="shared" si="15"/>
        <v>Botafogo</v>
      </c>
      <c r="DS13" s="201" t="s">
        <v>610</v>
      </c>
      <c r="DT13" s="200"/>
      <c r="DU13" s="196">
        <v>7</v>
      </c>
      <c r="DV13" s="202">
        <v>-9</v>
      </c>
      <c r="DW13" s="20"/>
      <c r="DX13" s="9">
        <v>7</v>
      </c>
      <c r="DY13" s="203">
        <f t="shared" si="13"/>
        <v>45824.75</v>
      </c>
      <c r="DZ13" s="204">
        <v>45824.75</v>
      </c>
      <c r="EA13" s="205">
        <f t="shared" si="14"/>
        <v>45824.75</v>
      </c>
      <c r="EB13" s="204">
        <v>45824.75</v>
      </c>
      <c r="EC13" s="196">
        <f>SUM(Matches!S11:S14)</f>
        <v>10</v>
      </c>
      <c r="ED13" s="196" t="str">
        <f>INDEX(Language!A1:K117,MATCH(Setup!B14,Language!B1:B117,0),MATCH(Setup!C5,Language!A1:J1,0))</f>
        <v>Botafogo</v>
      </c>
    </row>
    <row r="14" spans="1:134" x14ac:dyDescent="0.25">
      <c r="A14" s="194">
        <f>VLOOKUP(B14,CW11:CX15,2,FALSE)</f>
        <v>4</v>
      </c>
      <c r="B14" s="195" t="str">
        <f t="shared" si="20"/>
        <v>Seattle Sounders</v>
      </c>
      <c r="C14" s="194">
        <f>SUMPRODUCT((CZ3:CZ54=B14)*(DD3:DD54="W"))+SUMPRODUCT((DC3:DC54=B14)*(DE3:DE54="W"))</f>
        <v>0</v>
      </c>
      <c r="D14" s="194">
        <f>SUMPRODUCT((CZ3:CZ54=B14)*(DD3:DD54="D"))+SUMPRODUCT((DC3:DC54=B14)*(DE3:DE54="D"))</f>
        <v>0</v>
      </c>
      <c r="E14" s="194">
        <f>SUMPRODUCT((CZ3:CZ54=B14)*(DD3:DD54="L"))+SUMPRODUCT((DC3:DC54=B14)*(DE3:DE54="L"))</f>
        <v>0</v>
      </c>
      <c r="F14" s="194">
        <f>SUMIF(CZ3:CZ72,B14,DA3:DA72)+SUMIF(DC3:DC72,B14,DB3:DB72)</f>
        <v>0</v>
      </c>
      <c r="G14" s="194">
        <f>SUMIF(DC3:DC72,B14,DA3:DA72)+SUMIF(CZ3:CZ72,B14,DB3:DB72)</f>
        <v>0</v>
      </c>
      <c r="H14" s="194">
        <f t="shared" si="16"/>
        <v>1000</v>
      </c>
      <c r="I14" s="194">
        <f t="shared" si="17"/>
        <v>0</v>
      </c>
      <c r="J14" s="194">
        <f>IF(Setup!G15&lt;&gt;"",Setup!G15,7)</f>
        <v>7</v>
      </c>
      <c r="K14" s="194">
        <f>IF(COUNTIF(I11:I15,4)&lt;&gt;4,RANK(I14,I11:I15),I66)</f>
        <v>1</v>
      </c>
      <c r="M14" s="194">
        <f>SUMPRODUCT((K11:K14=K14)*(J11:J14&lt;J14))+K14</f>
        <v>1</v>
      </c>
      <c r="N14" s="195" t="str">
        <f>INDEX(B11:B15,MATCH(4,M11:M15,0),0)</f>
        <v>Paris Saint-Germain</v>
      </c>
      <c r="O14" s="194">
        <f>INDEX(K11:K15,MATCH(N14,B11:B15,0),0)</f>
        <v>1</v>
      </c>
      <c r="P14" s="194" t="str">
        <f>IF(AND(P13&lt;&gt;"",O14=1),N14,"")</f>
        <v>Paris Saint-Germain</v>
      </c>
      <c r="Q14" s="194" t="str">
        <f>IF(AND(Q13&lt;&gt;"",O15=2),N15,"")</f>
        <v/>
      </c>
      <c r="U14" s="194" t="str">
        <f t="shared" si="21"/>
        <v>Paris Saint-Germain</v>
      </c>
      <c r="V14" s="194">
        <f>SUMPRODUCT((CZ3:CZ54=U14)*(DC3:DC54=U15)*(DD3:DD54="W"))+SUMPRODUCT((CZ3:CZ54=U14)*(DC3:DC54=U11)*(DD3:DD54="W"))+SUMPRODUCT((CZ3:CZ54=U14)*(DC3:DC54=U12)*(DD3:DD54="W"))+SUMPRODUCT((CZ3:CZ54=U14)*(DC3:DC54=U13)*(DD3:DD54="W"))+SUMPRODUCT((CZ3:CZ54=U15)*(DC3:DC54=U14)*(DE3:DE54="W"))+SUMPRODUCT((CZ3:CZ54=U11)*(DC3:DC54=U14)*(DE3:DE54="W"))+SUMPRODUCT((CZ3:CZ54=U12)*(DC3:DC54=U14)*(DE3:DE54="W"))+SUMPRODUCT((CZ3:CZ54=U13)*(DC3:DC54=U14)*(DE3:DE54="W"))</f>
        <v>0</v>
      </c>
      <c r="W14" s="194">
        <f>SUMPRODUCT((CZ3:CZ54=U14)*(DC3:DC54=U15)*(DD3:DD54="D"))+SUMPRODUCT((CZ3:CZ54=U14)*(DC3:DC54=U11)*(DD3:DD54="D"))+SUMPRODUCT((CZ3:CZ54=U14)*(DC3:DC54=U12)*(DD3:DD54="D"))+SUMPRODUCT((CZ3:CZ54=U14)*(DC3:DC54=U13)*(DD3:DD54="D"))+SUMPRODUCT((CZ3:CZ54=U15)*(DC3:DC54=U14)*(DD3:DD54="D"))+SUMPRODUCT((CZ3:CZ54=U11)*(DC3:DC54=U14)*(DD3:DD54="D"))+SUMPRODUCT((CZ3:CZ54=U12)*(DC3:DC54=U14)*(DD3:DD54="D"))+SUMPRODUCT((CZ3:CZ54=U13)*(DC3:DC54=U14)*(DD3:DD54="D"))</f>
        <v>0</v>
      </c>
      <c r="X14" s="194">
        <f>SUMPRODUCT((CZ3:CZ54=U14)*(DC3:DC54=U15)*(DD3:DD54="L"))+SUMPRODUCT((CZ3:CZ54=U14)*(DC3:DC54=U11)*(DD3:DD54="L"))+SUMPRODUCT((CZ3:CZ54=U14)*(DC3:DC54=U12)*(DD3:DD54="L"))+SUMPRODUCT((CZ3:CZ54=U14)*(DC3:DC54=U13)*(DD3:DD54="L"))+SUMPRODUCT((CZ3:CZ54=U15)*(DC3:DC54=U14)*(DE3:DE54="L"))+SUMPRODUCT((CZ3:CZ54=U11)*(DC3:DC54=U14)*(DE3:DE54="L"))+SUMPRODUCT((CZ3:CZ54=U12)*(DC3:DC54=U14)*(DE3:DE54="L"))+SUMPRODUCT((CZ3:CZ54=U13)*(DC3:DC54=U14)*(DE3:DE54="L"))</f>
        <v>0</v>
      </c>
      <c r="Y14" s="194">
        <f>SUMPRODUCT((CZ3:CZ54=U14)*(DC3:DC54=U15)*DA3:DA54)+SUMPRODUCT((CZ3:CZ54=U14)*(DC3:DC54=U11)*DA3:DA54)+SUMPRODUCT((CZ3:CZ54=U14)*(DC3:DC54=U12)*DA3:DA54)+SUMPRODUCT((CZ3:CZ54=U14)*(DC3:DC54=U13)*DA3:DA54)+SUMPRODUCT((CZ3:CZ54=U15)*(DC3:DC54=U14)*DB3:DB54)+SUMPRODUCT((CZ3:CZ54=U11)*(DC3:DC54=U14)*DB3:DB54)+SUMPRODUCT((CZ3:CZ54=U12)*(DC3:DC54=U14)*DB3:DB54)+SUMPRODUCT((CZ3:CZ54=U13)*(DC3:DC54=U14)*DB3:DB54)</f>
        <v>0</v>
      </c>
      <c r="Z14" s="194">
        <f>SUMPRODUCT((CZ3:CZ54=U14)*(DC3:DC54=U15)*DB3:DB54)+SUMPRODUCT((CZ3:CZ54=U14)*(DC3:DC54=U11)*DB3:DB54)+SUMPRODUCT((CZ3:CZ54=U14)*(DC3:DC54=U12)*DB3:DB54)+SUMPRODUCT((CZ3:CZ54=U14)*(DC3:DC54=U13)*DB3:DB54)+SUMPRODUCT((CZ3:CZ54=U15)*(DC3:DC54=U14)*DA3:DA54)+SUMPRODUCT((CZ3:CZ54=U11)*(DC3:DC54=U14)*DA3:DA54)+SUMPRODUCT((CZ3:CZ54=U12)*(DC3:DC54=U14)*DA3:DA54)+SUMPRODUCT((CZ3:CZ54=U13)*(DC3:DC54=U14)*DA3:DA54)</f>
        <v>0</v>
      </c>
      <c r="AA14" s="194">
        <f>Y14-Z14+1000</f>
        <v>1000</v>
      </c>
      <c r="AB14" s="194">
        <f t="shared" si="18"/>
        <v>0</v>
      </c>
      <c r="AC14" s="194">
        <f>IF(U14&lt;&gt;"",VLOOKUP(U14,B4:H52,7,FALSE),"")</f>
        <v>1000</v>
      </c>
      <c r="AD14" s="194">
        <f>IF(U14&lt;&gt;"",VLOOKUP(U14,B4:H52,5,FALSE),"")</f>
        <v>0</v>
      </c>
      <c r="AE14" s="194">
        <f>IF(U14&lt;&gt;"",VLOOKUP(U14,B4:J52,9,FALSE),"")</f>
        <v>29</v>
      </c>
      <c r="AF14" s="194">
        <f t="shared" si="19"/>
        <v>0</v>
      </c>
      <c r="AG14" s="194">
        <f>IF(U14&lt;&gt;"",RANK(AF14,AF11:AF15),"")</f>
        <v>1</v>
      </c>
      <c r="AH14" s="194">
        <f>IF(U14&lt;&gt;"",SUMPRODUCT((AF11:AF15=AF14)*(AA11:AA15&gt;AA14)),"")</f>
        <v>0</v>
      </c>
      <c r="AI14" s="194">
        <f>IF(U14&lt;&gt;"",SUMPRODUCT((AF11:AF15=AF14)*(AA11:AA15=AA14)*(Y11:Y15&gt;Y14)),"")</f>
        <v>0</v>
      </c>
      <c r="AJ14" s="194">
        <f>IF(U14&lt;&gt;"",SUMPRODUCT((AF11:AF15=AF14)*(AA11:AA15=AA14)*(Y11:Y15=Y14)*(AC11:AC15&gt;AC14)),"")</f>
        <v>0</v>
      </c>
      <c r="AK14" s="194">
        <f>IF(U14&lt;&gt;"",SUMPRODUCT((AF11:AF15=AF14)*(AA11:AA15=AA14)*(Y11:Y15=Y14)*(AC11:AC15=AC14)*(AD11:AD15&gt;AD14)),"")</f>
        <v>0</v>
      </c>
      <c r="AL14" s="194">
        <f>IF(U14&lt;&gt;"",SUMPRODUCT((AF11:AF15=AF14)*(AA11:AA15=AA14)*(Y11:Y15=Y14)*(AC11:AC15=AC14)*(AD11:AD15=AD14)*(AE11:AE15&gt;AE14)),"")</f>
        <v>0</v>
      </c>
      <c r="AM14" s="194">
        <f>IF(U14&lt;&gt;"",IF(AM66&lt;&gt;"",IF(T62=3,AM66,AM66+T62),SUM(AG14:AL14)),"")</f>
        <v>1</v>
      </c>
      <c r="AN14" s="194" t="str">
        <f>IF(U14&lt;&gt;"",INDEX(U11:U15,MATCH(4,AM11:AM15,0),0),"")</f>
        <v>Seattle Sounders</v>
      </c>
      <c r="AO14" s="194" t="str">
        <f>IF(Q13&lt;&gt;"",Q13,"")</f>
        <v/>
      </c>
      <c r="AP14" s="194" t="str">
        <f>IF(AO14&lt;&gt;"",SUMPRODUCT((CZ3:CZ54=AO14)*(DC3:DC54=AO15)*(DD3:DD54="W"))+SUMPRODUCT((CZ3:CZ54=AO14)*(DC3:DC54=AO12)*(DD3:DD54="W"))+SUMPRODUCT((CZ3:CZ54=AO14)*(DC3:DC54=AO13)*(DD3:DD54="W"))+SUMPRODUCT((CZ3:CZ54=AO15)*(DC3:DC54=AO14)*(DE3:DE54="W"))+SUMPRODUCT((CZ3:CZ54=AO12)*(DC3:DC54=AO14)*(DE3:DE54="W"))+SUMPRODUCT((CZ3:CZ54=AO13)*(DC3:DC54=AO14)*(DE3:DE54="W")),"")</f>
        <v/>
      </c>
      <c r="AQ14" s="194" t="str">
        <f>IF(AO14&lt;&gt;"",SUMPRODUCT((CZ3:CZ54=AO14)*(DC3:DC54=AO15)*(DD3:DD54="D"))+SUMPRODUCT((CZ3:CZ54=AO14)*(DC3:DC54=AO12)*(DD3:DD54="D"))+SUMPRODUCT((CZ3:CZ54=AO14)*(DC3:DC54=AO13)*(DD3:DD54="D"))+SUMPRODUCT((CZ3:CZ54=AO15)*(DC3:DC54=AO14)*(DD3:DD54="D"))+SUMPRODUCT((CZ3:CZ54=AO12)*(DC3:DC54=AO14)*(DD3:DD54="D"))+SUMPRODUCT((CZ3:CZ54=AO13)*(DC3:DC54=AO14)*(DD3:DD54="D")),"")</f>
        <v/>
      </c>
      <c r="AR14" s="194" t="str">
        <f>IF(AO14&lt;&gt;"",SUMPRODUCT((CZ3:CZ54=AO14)*(DC3:DC54=AO15)*(DD3:DD54="L"))+SUMPRODUCT((CZ3:CZ54=AO14)*(DC3:DC54=AO12)*(DD3:DD54="L"))+SUMPRODUCT((CZ3:CZ54=AO14)*(DC3:DC54=AO13)*(DD3:DD54="L"))+SUMPRODUCT((CZ3:CZ54=AO15)*(DC3:DC54=AO14)*(DE3:DE54="L"))+SUMPRODUCT((CZ3:CZ54=AO12)*(DC3:DC54=AO14)*(DE3:DE54="L"))+SUMPRODUCT((CZ3:CZ54=AO13)*(DC3:DC54=AO14)*(DE3:DE54="L")),"")</f>
        <v/>
      </c>
      <c r="AS14" s="194">
        <f>SUMPRODUCT((CZ3:CZ54=AO14)*(DC3:DC54=AO15)*DA3:DA54)+SUMPRODUCT((CZ3:CZ54=AO14)*(DC3:DC54=AO11)*DA3:DA54)+SUMPRODUCT((CZ3:CZ54=AO14)*(DC3:DC54=AO12)*DA3:DA54)+SUMPRODUCT((CZ3:CZ54=AO14)*(DC3:DC54=AO13)*DA3:DA54)+SUMPRODUCT((CZ3:CZ54=AO15)*(DC3:DC54=AO14)*DB3:DB54)+SUMPRODUCT((CZ3:CZ54=AO11)*(DC3:DC54=AO14)*DB3:DB54)+SUMPRODUCT((CZ3:CZ54=AO12)*(DC3:DC54=AO14)*DB3:DB54)+SUMPRODUCT((CZ3:CZ54=AO13)*(DC3:DC54=AO14)*DB3:DB54)</f>
        <v>0</v>
      </c>
      <c r="AT14" s="194">
        <f>SUMPRODUCT((CZ3:CZ54=AO14)*(DC3:DC54=AO15)*DB3:DB54)+SUMPRODUCT((CZ3:CZ54=AO14)*(DC3:DC54=AO11)*DB3:DB54)+SUMPRODUCT((CZ3:CZ54=AO14)*(DC3:DC54=AO12)*DB3:DB54)+SUMPRODUCT((CZ3:CZ54=AO14)*(DC3:DC54=AO13)*DB3:DB54)+SUMPRODUCT((CZ3:CZ54=AO15)*(DC3:DC54=AO14)*DA3:DA54)+SUMPRODUCT((CZ3:CZ54=AO11)*(DC3:DC54=AO14)*DA3:DA54)+SUMPRODUCT((CZ3:CZ54=AO12)*(DC3:DC54=AO14)*DA3:DA54)+SUMPRODUCT((CZ3:CZ54=AO13)*(DC3:DC54=AO14)*DA3:DA54)</f>
        <v>0</v>
      </c>
      <c r="AU14" s="194">
        <f>AS14-AT14+1000</f>
        <v>1000</v>
      </c>
      <c r="AV14" s="194" t="str">
        <f t="shared" si="22"/>
        <v/>
      </c>
      <c r="AW14" s="194" t="str">
        <f>IF(AO14&lt;&gt;"",VLOOKUP(AO14,B4:H52,7,FALSE),"")</f>
        <v/>
      </c>
      <c r="AX14" s="194" t="str">
        <f>IF(AO14&lt;&gt;"",VLOOKUP(AO14,B4:H52,5,FALSE),"")</f>
        <v/>
      </c>
      <c r="AY14" s="194" t="str">
        <f>IF(AO14&lt;&gt;"",VLOOKUP(AO14,B4:J52,9,FALSE),"")</f>
        <v/>
      </c>
      <c r="AZ14" s="194" t="str">
        <f t="shared" si="23"/>
        <v/>
      </c>
      <c r="BA14" s="194" t="str">
        <f>IF(AO14&lt;&gt;"",RANK(AZ14,AZ11:AZ15),"")</f>
        <v/>
      </c>
      <c r="BB14" s="194" t="str">
        <f>IF(AO14&lt;&gt;"",SUMPRODUCT((AZ11:AZ15=AZ14)*(AU11:AU15&gt;AU14)),"")</f>
        <v/>
      </c>
      <c r="BC14" s="194" t="str">
        <f>IF(AO14&lt;&gt;"",SUMPRODUCT((AZ11:AZ15=AZ14)*(AU11:AU15=AU14)*(AS11:AS15&gt;AS14)),"")</f>
        <v/>
      </c>
      <c r="BD14" s="194" t="str">
        <f>IF(AO14&lt;&gt;"",SUMPRODUCT((AZ11:AZ15=AZ14)*(AU11:AU15=AU14)*(AS11:AS15=AS14)*(AW11:AW15&gt;AW14)),"")</f>
        <v/>
      </c>
      <c r="BE14" s="194" t="str">
        <f>IF(AO14&lt;&gt;"",SUMPRODUCT((AZ11:AZ15=AZ14)*(AU11:AU15=AU14)*(AS11:AS15=AS14)*(AW11:AW15=AW14)*(AX11:AX15&gt;AX14)),"")</f>
        <v/>
      </c>
      <c r="BF14" s="194" t="str">
        <f>IF(AO14&lt;&gt;"",SUMPRODUCT((AZ11:AZ15=AZ14)*(AU11:AU15=AU14)*(AS11:AS15=AS14)*(AW11:AW15=AW14)*(AX11:AX15=AX14)*(AY11:AY15&gt;AY14)),"")</f>
        <v/>
      </c>
      <c r="BG14" s="194" t="str">
        <f>IF(AO14&lt;&gt;"",IF(BG66&lt;&gt;"",IF(AN62=3,BG66,BG66+AN62),SUM(BA14:BF14)+1),"")</f>
        <v/>
      </c>
      <c r="BH14" s="194" t="str">
        <f>IF(AO14&lt;&gt;"",INDEX(AO12:AO15,MATCH(4,BG12:BG15,0),0),"")</f>
        <v/>
      </c>
      <c r="BI14" s="194" t="str">
        <f>IF(R12&lt;&gt;"",R12,"")</f>
        <v/>
      </c>
      <c r="BJ14" s="194">
        <f>SUMPRODUCT((CZ3:CZ54=BI14)*(DC3:DC54=BI15)*(DD3:DD54="W"))+SUMPRODUCT((CZ3:CZ54=BI14)*(DC3:DC54=BI16)*(DD3:DD54="W"))+SUMPRODUCT((CZ3:CZ54=BI14)*(DC3:DC54=BI13)*(DD3:DD54="W"))+SUMPRODUCT((CZ3:CZ54=BI15)*(DC3:DC54=BI14)*(DE3:DE54="W"))+SUMPRODUCT((CZ3:CZ54=BI16)*(DC3:DC54=BI14)*(DE3:DE54="W"))+SUMPRODUCT((CZ3:CZ54=BI13)*(DC3:DC54=BI14)*(DE3:DE54="W"))</f>
        <v>0</v>
      </c>
      <c r="BK14" s="194">
        <f>SUMPRODUCT((CZ3:CZ54=BI14)*(DC3:DC54=BI15)*(DD3:DD54="D"))+SUMPRODUCT((CZ3:CZ54=BI14)*(DC3:DC54=BI16)*(DD3:DD54="D"))+SUMPRODUCT((CZ3:CZ54=BI14)*(DC3:DC54=BI13)*(DD3:DD54="D"))+SUMPRODUCT((CZ3:CZ54=BI15)*(DC3:DC54=BI14)*(DD3:DD54="D"))+SUMPRODUCT((CZ3:CZ54=BI16)*(DC3:DC54=BI14)*(DD3:DD54="D"))+SUMPRODUCT((CZ3:CZ54=BI13)*(DC3:DC54=BI14)*(DD3:DD54="D"))</f>
        <v>0</v>
      </c>
      <c r="BL14" s="194">
        <f>SUMPRODUCT((CZ3:CZ54=BI14)*(DC3:DC54=BI15)*(DD3:DD54="L"))+SUMPRODUCT((CZ3:CZ54=BI14)*(DC3:DC54=BI16)*(DD3:DD54="L"))+SUMPRODUCT((CZ3:CZ54=BI14)*(DC3:DC54=BI13)*(DD3:DD54="L"))+SUMPRODUCT((CZ3:CZ54=BI15)*(DC3:DC54=BI14)*(DE3:DE54="L"))+SUMPRODUCT((CZ3:CZ54=BI16)*(DC3:DC54=BI14)*(DE3:DE54="L"))+SUMPRODUCT((CZ3:CZ54=BI13)*(DC3:DC54=BI14)*(DE3:DE54="L"))</f>
        <v>0</v>
      </c>
      <c r="BM14" s="194">
        <f>SUMPRODUCT((CZ3:CZ54=BI14)*(DC3:DC54=BI15)*DA3:DA54)+SUMPRODUCT((CZ3:CZ54=BI14)*(DC3:DC54=BI11)*DA3:DA54)+SUMPRODUCT((CZ3:CZ54=BI14)*(DC3:DC54=BI12)*DA3:DA54)+SUMPRODUCT((CZ3:CZ54=BI14)*(DC3:DC54=BI13)*DA3:DA54)+SUMPRODUCT((CZ3:CZ54=BI15)*(DC3:DC54=BI14)*DB3:DB54)+SUMPRODUCT((CZ3:CZ54=BI11)*(DC3:DC54=BI14)*DB3:DB54)+SUMPRODUCT((CZ3:CZ54=BI12)*(DC3:DC54=BI14)*DB3:DB54)+SUMPRODUCT((CZ3:CZ54=BI13)*(DC3:DC54=BI14)*DB3:DB54)</f>
        <v>0</v>
      </c>
      <c r="BN14" s="194">
        <f>SUMPRODUCT((CZ3:CZ54=BI14)*(DC3:DC54=BI15)*DB3:DB54)+SUMPRODUCT((CZ3:CZ54=BI14)*(DC3:DC54=BI11)*DB3:DB54)+SUMPRODUCT((CZ3:CZ54=BI14)*(DC3:DC54=BI12)*DB3:DB54)+SUMPRODUCT((CZ3:CZ54=BI14)*(DC3:DC54=BI13)*DB3:DB54)+SUMPRODUCT((CZ3:CZ54=BI15)*(DC3:DC54=BI14)*DA3:DA54)+SUMPRODUCT((CZ3:CZ54=BI11)*(DC3:DC54=BI14)*DA3:DA54)+SUMPRODUCT((CZ3:CZ54=BI12)*(DC3:DC54=BI14)*DA3:DA54)+SUMPRODUCT((CZ3:CZ54=BI13)*(DC3:DC54=BI14)*DA3:DA54)</f>
        <v>0</v>
      </c>
      <c r="BO14" s="194">
        <f>BM14-BN14+1000</f>
        <v>1000</v>
      </c>
      <c r="BP14" s="194" t="str">
        <f t="shared" si="24"/>
        <v/>
      </c>
      <c r="BQ14" s="194" t="str">
        <f>IF(BI14&lt;&gt;"",VLOOKUP(BI14,B4:H52,7,FALSE),"")</f>
        <v/>
      </c>
      <c r="BR14" s="194" t="str">
        <f>IF(BI14&lt;&gt;"",VLOOKUP(BI14,B4:H52,5,FALSE),"")</f>
        <v/>
      </c>
      <c r="BS14" s="194" t="str">
        <f>IF(BI14&lt;&gt;"",VLOOKUP(BI14,B4:J52,9,FALSE),"")</f>
        <v/>
      </c>
      <c r="BT14" s="194" t="str">
        <f t="shared" si="25"/>
        <v/>
      </c>
      <c r="BU14" s="194" t="str">
        <f>IF(BI14&lt;&gt;"",RANK(BT14,BT11:BT15),"")</f>
        <v/>
      </c>
      <c r="BV14" s="194" t="str">
        <f>IF(BI14&lt;&gt;"",SUMPRODUCT((BT11:BT15=BT14)*(BO11:BO15&gt;BO14)),"")</f>
        <v/>
      </c>
      <c r="BW14" s="194" t="str">
        <f>IF(BI14&lt;&gt;"",SUMPRODUCT((BT11:BT15=BT14)*(BO11:BO15=BO14)*(BM11:BM15&gt;BM14)),"")</f>
        <v/>
      </c>
      <c r="BX14" s="194" t="str">
        <f>IF(BI14&lt;&gt;"",SUMPRODUCT((BT11:BT15=BT14)*(BO11:BO15=BO14)*(BM11:BM15=BM14)*(BQ11:BQ15&gt;BQ14)),"")</f>
        <v/>
      </c>
      <c r="BY14" s="194" t="str">
        <f>IF(BI14&lt;&gt;"",SUMPRODUCT((BT11:BT15=BT14)*(BO11:BO15=BO14)*(BM11:BM15=BM14)*(BQ11:BQ15=BQ14)*(BR11:BR15&gt;BR14)),"")</f>
        <v/>
      </c>
      <c r="BZ14" s="194" t="str">
        <f>IF(BI14&lt;&gt;"",SUMPRODUCT((BT11:BT15=BT14)*(BO11:BO15=BO14)*(BM11:BM15=BM14)*(BQ11:BQ15=BQ14)*(BR11:BR15=BR14)*(BS11:BS15&gt;BS14)),"")</f>
        <v/>
      </c>
      <c r="CA14" s="194" t="str">
        <f>IF(BI14&lt;&gt;"",SUM(BU14:BZ14)+2,"")</f>
        <v/>
      </c>
      <c r="CB14" s="194" t="str">
        <f>IF(BI14&lt;&gt;"",INDEX(BI13:BI15,MATCH(4,CA13:CA15,0),0),"")</f>
        <v/>
      </c>
      <c r="CC14" s="194" t="str">
        <f>IF(S11&lt;&gt;"",S11,"")</f>
        <v/>
      </c>
      <c r="CD14" s="194">
        <f>SUMPRODUCT((CZ3:CZ54=CC14)*(DC3:DC54=CC15)*(DD3:DD54="W"))+SUMPRODUCT((CZ3:CZ54=CC14)*(DC3:DC54=CC16)*(DD3:DD54="W"))+SUMPRODUCT((CZ3:CZ54=CC14)*(DC3:DC54=CC17)*(DD3:DD54="W"))+SUMPRODUCT((CZ3:CZ54=CC15)*(DC3:DC54=CC14)*(DE3:DE54="W"))+SUMPRODUCT((CZ3:CZ54=CC16)*(DC3:DC54=CC14)*(DE3:DE54="W"))+SUMPRODUCT((CZ3:CZ54=CC17)*(DC3:DC54=CC14)*(DE3:DE54="W"))</f>
        <v>0</v>
      </c>
      <c r="CE14" s="194">
        <f>SUMPRODUCT((CZ3:CZ54=CC14)*(DC3:DC54=CC15)*(DD3:DD54="D"))+SUMPRODUCT((CZ3:CZ54=CC14)*(DC3:DC54=CC16)*(DD3:DD54="D"))+SUMPRODUCT((CZ3:CZ54=CC14)*(DC3:DC54=CC17)*(DD3:DD54="D"))+SUMPRODUCT((CZ3:CZ54=CC15)*(DC3:DC54=CC14)*(DD3:DD54="D"))+SUMPRODUCT((CZ3:CZ54=CC16)*(DC3:DC54=CC14)*(DD3:DD54="D"))+SUMPRODUCT((CZ3:CZ54=CC17)*(DC3:DC54=CC14)*(DD3:DD54="D"))</f>
        <v>0</v>
      </c>
      <c r="CF14" s="194">
        <f>SUMPRODUCT((CZ3:CZ54=CC14)*(DC3:DC54=CC15)*(DD3:DD54="L"))+SUMPRODUCT((CZ3:CZ54=CC14)*(DC3:DC54=CC16)*(DD3:DD54="L"))+SUMPRODUCT((CZ3:CZ54=CC14)*(DC3:DC54=CC17)*(DD3:DD54="L"))+SUMPRODUCT((CZ3:CZ54=CC15)*(DC3:DC54=CC14)*(DE3:DE54="L"))+SUMPRODUCT((CZ3:CZ54=CC16)*(DC3:DC54=CC14)*(DE3:DE54="L"))+SUMPRODUCT((CZ3:CZ54=CC17)*(DC3:DC54=CC14)*(DE3:DE54="L"))</f>
        <v>0</v>
      </c>
      <c r="CG14" s="194">
        <f>SUMPRODUCT((CZ3:CZ54=CC14)*(DC3:DC54=CC15)*DA3:DA54)+SUMPRODUCT((CZ3:CZ54=CC14)*(DC3:DC54=CC11)*DA3:DA54)+SUMPRODUCT((CZ3:CZ54=CC14)*(DC3:DC54=CC12)*DA3:DA54)+SUMPRODUCT((CZ3:CZ54=CC14)*(DC3:DC54=CC13)*DA3:DA54)+SUMPRODUCT((CZ3:CZ54=CC15)*(DC3:DC54=CC14)*DB3:DB54)+SUMPRODUCT((CZ3:CZ54=CC11)*(DC3:DC54=CC14)*DB3:DB54)+SUMPRODUCT((CZ3:CZ54=CC12)*(DC3:DC54=CC14)*DB3:DB54)+SUMPRODUCT((CZ3:CZ54=CC13)*(DC3:DC54=CC14)*DB3:DB54)</f>
        <v>0</v>
      </c>
      <c r="CH14" s="194">
        <f>SUMPRODUCT((CZ3:CZ54=CC14)*(DC3:DC54=CC15)*DB3:DB54)+SUMPRODUCT((CZ3:CZ54=CC14)*(DC3:DC54=CC11)*DB3:DB54)+SUMPRODUCT((CZ3:CZ54=CC14)*(DC3:DC54=CC12)*DB3:DB54)+SUMPRODUCT((CZ3:CZ54=CC14)*(DC3:DC54=CC13)*DB3:DB54)+SUMPRODUCT((CZ3:CZ54=CC15)*(DC3:DC54=CC14)*DA3:DA54)+SUMPRODUCT((CZ3:CZ54=CC11)*(DC3:DC54=CC14)*DA3:DA54)+SUMPRODUCT((CZ3:CZ54=CC12)*(DC3:DC54=CC14)*DA3:DA54)+SUMPRODUCT((CZ3:CZ54=CC13)*(DC3:DC54=CC14)*DA3:DA54)</f>
        <v>0</v>
      </c>
      <c r="CI14" s="194">
        <f>CG14-CH14+1000</f>
        <v>1000</v>
      </c>
      <c r="CJ14" s="194" t="str">
        <f t="shared" ref="CJ14" si="26">IF(CC14&lt;&gt;"",CD14*3+CE14*1,"")</f>
        <v/>
      </c>
      <c r="CK14" s="194" t="str">
        <f>IF(CC14&lt;&gt;"",VLOOKUP(CC14,B4:H52,7,FALSE),"")</f>
        <v/>
      </c>
      <c r="CL14" s="194" t="str">
        <f>IF(CC14&lt;&gt;"",VLOOKUP(CC14,B4:H52,5,FALSE),"")</f>
        <v/>
      </c>
      <c r="CM14" s="194" t="str">
        <f>IF(CC14&lt;&gt;"",VLOOKUP(CC14,B4:J52,9,FALSE),"")</f>
        <v/>
      </c>
      <c r="CN14" s="194" t="str">
        <f t="shared" ref="CN14" si="27">CJ14</f>
        <v/>
      </c>
      <c r="CO14" s="194" t="str">
        <f>IF(CC14&lt;&gt;"",RANK(CN14,CN11:CN15),"")</f>
        <v/>
      </c>
      <c r="CP14" s="194" t="str">
        <f>IF(CC14&lt;&gt;"",SUMPRODUCT((CN11:CN15=CN14)*(CI11:CI15&gt;CI14)),"")</f>
        <v/>
      </c>
      <c r="CQ14" s="194" t="str">
        <f>IF(CC14&lt;&gt;"",SUMPRODUCT((CN11:CN15=CN14)*(CI11:CI15=CI14)*(CG11:CG15&gt;CG14)),"")</f>
        <v/>
      </c>
      <c r="CR14" s="194" t="str">
        <f>IF(CC14&lt;&gt;"",SUMPRODUCT((CN11:CN15=CN14)*(CI11:CI15=CI14)*(CG11:CG15=CG14)*(CK11:CK15&gt;CK14)),"")</f>
        <v/>
      </c>
      <c r="CS14" s="194" t="str">
        <f>IF(CC14&lt;&gt;"",SUMPRODUCT((CN11:CN15=CN14)*(CI11:CI15=CI14)*(CG11:CG15=CG14)*(CK11:CK15=CK14)*(CL11:CL15&gt;CL14)),"")</f>
        <v/>
      </c>
      <c r="CT14" s="194" t="str">
        <f>IF(CC14&lt;&gt;"",SUMPRODUCT((CN11:CN15=CN14)*(CI11:CI15=CI14)*(CG11:CG15=CG14)*(CK11:CK15=CK14)*(CL11:CL15=CL14)*(CM11:CM15&gt;CM14)),"")</f>
        <v/>
      </c>
      <c r="CU14" s="194" t="str">
        <f>IF(CC14&lt;&gt;"",SUM(CO14:CT14)+3,"")</f>
        <v/>
      </c>
      <c r="CV14" s="194" t="str">
        <f>IF(CC14&lt;&gt;"",IF(CU14=4,CC14,CC15),"")</f>
        <v/>
      </c>
      <c r="CW14" s="194" t="str">
        <f>IF(CV14&lt;&gt;"",CV14,IF(CB14&lt;&gt;"",CB14,IF(BH14&lt;&gt;"",BH14,IF(AN14&lt;&gt;"",AN14,N14))))</f>
        <v>Seattle Sounders</v>
      </c>
      <c r="CX14" s="194">
        <v>4</v>
      </c>
      <c r="CY14" s="194">
        <v>12</v>
      </c>
      <c r="CZ14" s="194" t="str">
        <f>Matches!H15</f>
        <v>Monterrey</v>
      </c>
      <c r="DA14" s="194">
        <f>IF(CZ2&lt;&gt;"",IF(AND(Matches!J15&lt;&gt;"",Matches!K15&lt;&gt;""),Matches!J15,0),"")</f>
        <v>0</v>
      </c>
      <c r="DB14" s="194">
        <f>IF(CZ2&lt;&gt;"",IF(AND(Matches!J15&lt;&gt;"",Matches!K15&lt;&gt;""),Matches!K15,0),"")</f>
        <v>0</v>
      </c>
      <c r="DC14" s="194" t="str">
        <f>Matches!M15</f>
        <v>Internazionale</v>
      </c>
      <c r="DD14" s="194" t="str">
        <f>IF(AND(Matches!J15&lt;&gt;"",Matches!K15&lt;&gt;""),IF(DA14&gt;DB14,"W",IF(DA14=DB14,"D","L")),"")</f>
        <v/>
      </c>
      <c r="DE14" s="194" t="str">
        <f t="shared" si="0"/>
        <v/>
      </c>
      <c r="DH14" s="202"/>
      <c r="DN14" s="20" t="str">
        <f>Setup!E15</f>
        <v>USA</v>
      </c>
      <c r="DP14" s="212"/>
      <c r="DQ14" s="199"/>
      <c r="DR14" s="200" t="str">
        <f t="shared" si="15"/>
        <v>Seattle Sounders</v>
      </c>
      <c r="DS14" s="201" t="s">
        <v>611</v>
      </c>
      <c r="DT14" s="200"/>
      <c r="DU14" s="196">
        <v>8</v>
      </c>
      <c r="DV14" s="202">
        <v>-8.5</v>
      </c>
      <c r="DW14" s="20"/>
      <c r="DX14" s="9">
        <v>8</v>
      </c>
      <c r="DY14" s="203">
        <f t="shared" si="13"/>
        <v>45824.875</v>
      </c>
      <c r="DZ14" s="204">
        <v>45824.875</v>
      </c>
      <c r="EA14" s="205">
        <f t="shared" si="14"/>
        <v>45824.875</v>
      </c>
      <c r="EB14" s="204">
        <v>45824.875</v>
      </c>
      <c r="ED14" s="196" t="str">
        <f>INDEX(Language!A1:K117,MATCH(Setup!B15,Language!B1:B117,0),MATCH(Setup!C5,Language!A1:J1,0))</f>
        <v>Seattle Sounders</v>
      </c>
    </row>
    <row r="15" spans="1:134" ht="16.5" x14ac:dyDescent="0.25">
      <c r="CY15" s="194">
        <v>13</v>
      </c>
      <c r="CZ15" s="194" t="str">
        <f>Matches!H16</f>
        <v>Manchester City</v>
      </c>
      <c r="DA15" s="194">
        <f>IF(CZ2&lt;&gt;"",IF(AND(Matches!J16&lt;&gt;"",Matches!K16&lt;&gt;""),Matches!J16,0),"")</f>
        <v>0</v>
      </c>
      <c r="DB15" s="194">
        <f>IF(CZ2&lt;&gt;"",IF(AND(Matches!J16&lt;&gt;"",Matches!K16&lt;&gt;""),Matches!K16,0),"")</f>
        <v>0</v>
      </c>
      <c r="DC15" s="194" t="str">
        <f>Matches!M16</f>
        <v>Wydad AC</v>
      </c>
      <c r="DD15" s="194" t="str">
        <f>IF(AND(Matches!J16&lt;&gt;"",Matches!K16&lt;&gt;""),IF(DA15&gt;DB15,"W",IF(DA15=DB15,"D","L")),"")</f>
        <v/>
      </c>
      <c r="DE15" s="194" t="str">
        <f t="shared" si="0"/>
        <v/>
      </c>
      <c r="DH15" s="202"/>
      <c r="DN15" s="20" t="str">
        <f>Setup!E16</f>
        <v>GER</v>
      </c>
      <c r="DP15" s="212" t="s">
        <v>87</v>
      </c>
      <c r="DQ15" s="199"/>
      <c r="DR15" s="200" t="str">
        <f t="shared" si="15"/>
        <v>Bayern Munich</v>
      </c>
      <c r="DS15" s="201" t="s">
        <v>612</v>
      </c>
      <c r="DT15" s="200"/>
      <c r="DU15" s="196">
        <v>9</v>
      </c>
      <c r="DV15" s="202">
        <v>-8</v>
      </c>
      <c r="DW15" s="20"/>
      <c r="DX15" s="9">
        <v>9</v>
      </c>
      <c r="DY15" s="203">
        <f t="shared" si="13"/>
        <v>45825.5</v>
      </c>
      <c r="DZ15" s="204">
        <v>45825.5</v>
      </c>
      <c r="EA15" s="205">
        <f t="shared" si="14"/>
        <v>45825.5</v>
      </c>
      <c r="EB15" s="204">
        <v>45825.5</v>
      </c>
      <c r="ED15" s="196" t="str">
        <f>INDEX(Language!A1:K117,MATCH(Setup!B16,Language!B1:B117,0),MATCH(Setup!C5,Language!A1:J1,0))</f>
        <v>Bayern Munich</v>
      </c>
    </row>
    <row r="16" spans="1:134" x14ac:dyDescent="0.25">
      <c r="CY16" s="194">
        <v>14</v>
      </c>
      <c r="CZ16" s="194" t="str">
        <f>Matches!H17</f>
        <v>Real Madrid</v>
      </c>
      <c r="DA16" s="194">
        <f>IF(CZ2&lt;&gt;"",IF(AND(Matches!J17&lt;&gt;"",Matches!K17&lt;&gt;""),Matches!J17,0),"")</f>
        <v>0</v>
      </c>
      <c r="DB16" s="194">
        <f>IF(CZ2&lt;&gt;"",IF(AND(Matches!J17&lt;&gt;"",Matches!K17&lt;&gt;""),Matches!K17,0),"")</f>
        <v>0</v>
      </c>
      <c r="DC16" s="194" t="str">
        <f>Matches!M17</f>
        <v>Al Hilal</v>
      </c>
      <c r="DD16" s="194" t="str">
        <f>IF(AND(Matches!J17&lt;&gt;"",Matches!K17&lt;&gt;""),IF(DA16&gt;DB16,"W",IF(DA16=DB16,"D","L")),"")</f>
        <v/>
      </c>
      <c r="DE16" s="194" t="str">
        <f t="shared" si="0"/>
        <v/>
      </c>
      <c r="DH16" s="202"/>
      <c r="DN16" s="20" t="str">
        <f>Setup!E17</f>
        <v>NZA</v>
      </c>
      <c r="DP16" s="212"/>
      <c r="DQ16" s="199"/>
      <c r="DR16" s="200" t="str">
        <f t="shared" si="15"/>
        <v>Auckland City</v>
      </c>
      <c r="DS16" s="201" t="s">
        <v>613</v>
      </c>
      <c r="DT16" s="200"/>
      <c r="DU16" s="196">
        <v>10</v>
      </c>
      <c r="DV16" s="202">
        <v>-7.5</v>
      </c>
      <c r="DW16" s="20"/>
      <c r="DX16" s="9">
        <v>10</v>
      </c>
      <c r="DY16" s="203">
        <f t="shared" si="13"/>
        <v>45825.625</v>
      </c>
      <c r="DZ16" s="204">
        <f>EB16+3/24</f>
        <v>45825.625</v>
      </c>
      <c r="EA16" s="205">
        <f t="shared" si="14"/>
        <v>45825.625</v>
      </c>
      <c r="EB16" s="204">
        <v>45825.5</v>
      </c>
      <c r="ED16" s="196" t="str">
        <f>INDEX(Language!A1:K117,MATCH(Setup!B17,Language!B1:B117,0),MATCH(Setup!C5,Language!A1:J1,0))</f>
        <v>Auckland City</v>
      </c>
    </row>
    <row r="17" spans="1:134" x14ac:dyDescent="0.25">
      <c r="V17" s="194" t="s">
        <v>85</v>
      </c>
      <c r="CY17" s="194">
        <v>15</v>
      </c>
      <c r="CZ17" s="194" t="str">
        <f>Matches!H18</f>
        <v>Pachuca</v>
      </c>
      <c r="DA17" s="194">
        <f>IF(CZ2&lt;&gt;"",IF(AND(Matches!J18&lt;&gt;"",Matches!K18&lt;&gt;""),Matches!J18,0),"")</f>
        <v>0</v>
      </c>
      <c r="DB17" s="194">
        <f>IF(CZ2&lt;&gt;"",IF(AND(Matches!J18&lt;&gt;"",Matches!K18&lt;&gt;""),Matches!K18,0),"")</f>
        <v>0</v>
      </c>
      <c r="DC17" s="194" t="str">
        <f>Matches!M18</f>
        <v>Salzburg</v>
      </c>
      <c r="DD17" s="194" t="str">
        <f>IF(AND(Matches!J18&lt;&gt;"",Matches!K18&lt;&gt;""),IF(DA17&gt;DB17,"W",IF(DA17=DB17,"D","L")),"")</f>
        <v/>
      </c>
      <c r="DE17" s="194" t="str">
        <f t="shared" si="0"/>
        <v/>
      </c>
      <c r="DH17" s="202"/>
      <c r="DN17" s="20" t="str">
        <f>Setup!E18</f>
        <v>ARG</v>
      </c>
      <c r="DP17" s="212"/>
      <c r="DQ17" s="199"/>
      <c r="DR17" s="200" t="str">
        <f t="shared" si="15"/>
        <v>Boca Juniors</v>
      </c>
      <c r="DS17" s="201" t="s">
        <v>614</v>
      </c>
      <c r="DT17" s="200"/>
      <c r="DU17" s="196">
        <v>11</v>
      </c>
      <c r="DV17" s="202">
        <v>-7</v>
      </c>
      <c r="DW17" s="20"/>
      <c r="DX17" s="9">
        <v>11</v>
      </c>
      <c r="DY17" s="203">
        <f t="shared" si="13"/>
        <v>45825.75</v>
      </c>
      <c r="DZ17" s="204">
        <v>45825.75</v>
      </c>
      <c r="EA17" s="205">
        <f t="shared" si="14"/>
        <v>45825.75</v>
      </c>
      <c r="EB17" s="204">
        <v>45825.75</v>
      </c>
      <c r="ED17" s="196" t="str">
        <f>INDEX(Language!A1:K117,MATCH(Setup!B18,Language!B1:B117,0),MATCH(Setup!C5,Language!A1:J1,0))</f>
        <v>Boca Juniors</v>
      </c>
    </row>
    <row r="18" spans="1:134" x14ac:dyDescent="0.25">
      <c r="A18" s="194">
        <f>VLOOKUP(B18,CW18:CX22,2,FALSE)</f>
        <v>1</v>
      </c>
      <c r="B18" s="195" t="str">
        <f>ED15</f>
        <v>Bayern Munich</v>
      </c>
      <c r="C18" s="194">
        <f>SUMPRODUCT((CZ3:CZ54=B18)*(DD3:DD54="W"))+SUMPRODUCT((DC3:DC54=B18)*(DE3:DE54="W"))</f>
        <v>0</v>
      </c>
      <c r="D18" s="194">
        <f>SUMPRODUCT((CZ3:CZ54=B18)*(DD3:DD54="D"))+SUMPRODUCT((DC3:DC54=B18)*(DE3:DE54="D"))</f>
        <v>0</v>
      </c>
      <c r="E18" s="194">
        <f>SUMPRODUCT((CZ3:CZ54=B18)*(DD3:DD54="L"))+SUMPRODUCT((DC3:DC54=B18)*(DE3:DE54="L"))</f>
        <v>0</v>
      </c>
      <c r="F18" s="194">
        <f>SUMIF(CZ3:CZ72,B18,DA3:DA72)+SUMIF(DC3:DC72,B18,DB3:DB72)</f>
        <v>0</v>
      </c>
      <c r="G18" s="194">
        <f>SUMIF(DC3:DC72,B18,DA3:DA72)+SUMIF(CZ3:CZ72,B18,DB3:DB72)</f>
        <v>0</v>
      </c>
      <c r="H18" s="194">
        <f t="shared" ref="H18:H21" si="28">F18-G18+1000</f>
        <v>1000</v>
      </c>
      <c r="I18" s="194">
        <f t="shared" ref="I18:I21" si="29">C18*3+D18*1</f>
        <v>0</v>
      </c>
      <c r="J18" s="194">
        <f>IF(Setup!G16&lt;&gt;"",Setup!G16,30)</f>
        <v>30</v>
      </c>
      <c r="K18" s="194">
        <f>IF(COUNTIF(I18:I22,4)&lt;&gt;4,RANK(I18,I18:I22),I70)</f>
        <v>1</v>
      </c>
      <c r="M18" s="194">
        <f>SUMPRODUCT((K18:K21=K18)*(J18:J21&lt;J18))+K18</f>
        <v>4</v>
      </c>
      <c r="N18" s="195" t="str">
        <f>INDEX(B18:B22,MATCH(1,M18:M22,0),0)</f>
        <v>Auckland City</v>
      </c>
      <c r="O18" s="194">
        <f>INDEX(K18:K22,MATCH(N18,B18:B22,0),0)</f>
        <v>1</v>
      </c>
      <c r="P18" s="194" t="str">
        <f>IF(O19=1,N18,"")</f>
        <v>Auckland City</v>
      </c>
      <c r="Q18" s="194" t="str">
        <f>IF(O20=2,N19,"")</f>
        <v/>
      </c>
      <c r="R18" s="194" t="str">
        <f>IF(O21=3,N20,"")</f>
        <v/>
      </c>
      <c r="S18" s="194" t="str">
        <f>IF(O22=4,N21,"")</f>
        <v/>
      </c>
      <c r="U18" s="194" t="str">
        <f>IF(P18&lt;&gt;"",P18,"")</f>
        <v>Auckland City</v>
      </c>
      <c r="V18" s="194">
        <f>SUMPRODUCT((CZ3:CZ54=U18)*(DC3:DC54=U19)*(DD3:DD54="W"))+SUMPRODUCT((CZ3:CZ54=U18)*(DC3:DC54=U20)*(DD3:DD54="W"))+SUMPRODUCT((CZ3:CZ54=U18)*(DC3:DC54=U21)*(DD3:DD54="W"))+SUMPRODUCT((CZ3:CZ54=U18)*(DC3:DC54=U22)*(DD3:DD54="W"))+SUMPRODUCT((CZ3:CZ54=U19)*(DC3:DC54=U18)*(DE3:DE54="W"))+SUMPRODUCT((CZ3:CZ54=U20)*(DC3:DC54=U18)*(DE3:DE54="W"))+SUMPRODUCT((CZ3:CZ54=U21)*(DC3:DC54=U18)*(DE3:DE54="W"))+SUMPRODUCT((CZ3:CZ54=U22)*(DC3:DC54=U18)*(DE3:DE54="W"))</f>
        <v>0</v>
      </c>
      <c r="W18" s="194">
        <f>SUMPRODUCT((CZ3:CZ54=U18)*(DC3:DC54=U19)*(DD3:DD54="D"))+SUMPRODUCT((CZ3:CZ54=U18)*(DC3:DC54=U20)*(DD3:DD54="D"))+SUMPRODUCT((CZ3:CZ54=U18)*(DC3:DC54=U21)*(DD3:DD54="D"))+SUMPRODUCT((CZ3:CZ54=U18)*(DC3:DC54=U22)*(DD3:DD54="D"))+SUMPRODUCT((CZ3:CZ54=U19)*(DC3:DC54=U18)*(DD3:DD54="D"))+SUMPRODUCT((CZ3:CZ54=U20)*(DC3:DC54=U18)*(DD3:DD54="D"))+SUMPRODUCT((CZ3:CZ54=U21)*(DC3:DC54=U18)*(DD3:DD54="D"))+SUMPRODUCT((CZ3:CZ54=U22)*(DC3:DC54=U18)*(DD3:DD54="D"))</f>
        <v>0</v>
      </c>
      <c r="X18" s="194">
        <f>SUMPRODUCT((CZ3:CZ54=U18)*(DC3:DC54=U19)*(DD3:DD54="L"))+SUMPRODUCT((CZ3:CZ54=U18)*(DC3:DC54=U20)*(DD3:DD54="L"))+SUMPRODUCT((CZ3:CZ54=U18)*(DC3:DC54=U21)*(DD3:DD54="L"))+SUMPRODUCT((CZ3:CZ54=U18)*(DC3:DC54=U22)*(DD3:DD54="L"))+SUMPRODUCT((CZ3:CZ54=U19)*(DC3:DC54=U18)*(DE3:DE54="L"))+SUMPRODUCT((CZ3:CZ54=U20)*(DC3:DC54=U18)*(DE3:DE54="L"))+SUMPRODUCT((CZ3:CZ54=U21)*(DC3:DC54=U18)*(DE3:DE54="L"))+SUMPRODUCT((CZ3:CZ54=U22)*(DC3:DC54=U18)*(DE3:DE54="L"))</f>
        <v>0</v>
      </c>
      <c r="Y18" s="194">
        <f>SUMPRODUCT((CZ3:CZ54=U18)*(DC3:DC54=U19)*DA3:DA54)+SUMPRODUCT((CZ3:CZ54=U18)*(DC3:DC54=U20)*DA3:DA54)+SUMPRODUCT((CZ3:CZ54=U18)*(DC3:DC54=U21)*DA3:DA54)+SUMPRODUCT((CZ3:CZ54=U18)*(DC3:DC54=U22)*DA3:DA54)+SUMPRODUCT((CZ3:CZ54=U19)*(DC3:DC54=U18)*DB3:DB54)+SUMPRODUCT((CZ3:CZ54=U20)*(DC3:DC54=U18)*DB3:DB54)+SUMPRODUCT((CZ3:CZ54=U21)*(DC3:DC54=U18)*DB3:DB54)+SUMPRODUCT((CZ3:CZ54=U22)*(DC3:DC54=U18)*DB3:DB54)</f>
        <v>0</v>
      </c>
      <c r="Z18" s="194">
        <f>SUMPRODUCT((CZ3:CZ54=U18)*(DC3:DC54=U19)*DB3:DB54)+SUMPRODUCT((CZ3:CZ54=U18)*(DC3:DC54=U20)*DB3:DB54)+SUMPRODUCT((CZ3:CZ54=U18)*(DC3:DC54=U21)*DB3:DB54)+SUMPRODUCT((CZ3:CZ54=U18)*(DC3:DC54=U22)*DB3:DB54)+SUMPRODUCT((CZ3:CZ54=U19)*(DC3:DC54=U18)*DA3:DA54)+SUMPRODUCT((CZ3:CZ54=U20)*(DC3:DC54=U18)*DA3:DA54)+SUMPRODUCT((CZ3:CZ54=U21)*(DC3:DC54=U18)*DA3:DA54)+SUMPRODUCT((CZ3:CZ54=U22)*(DC3:DC54=U18)*DA3:DA54)</f>
        <v>0</v>
      </c>
      <c r="AA18" s="194">
        <f>Y18-Z18+1000</f>
        <v>1000</v>
      </c>
      <c r="AB18" s="194">
        <f t="shared" ref="AB18:AB21" si="30">IF(U18&lt;&gt;"",V18*3+W18*1,"")</f>
        <v>0</v>
      </c>
      <c r="AC18" s="194">
        <f>IF(U18&lt;&gt;"",VLOOKUP(U18,B4:H52,7,FALSE),"")</f>
        <v>1000</v>
      </c>
      <c r="AD18" s="194">
        <f>IF(U18&lt;&gt;"",VLOOKUP(U18,B4:H52,5,FALSE),"")</f>
        <v>0</v>
      </c>
      <c r="AE18" s="194">
        <f>IF(U18&lt;&gt;"",VLOOKUP(U18,B4:J52,9,FALSE),"")</f>
        <v>6</v>
      </c>
      <c r="AF18" s="194">
        <f t="shared" ref="AF18:AF21" si="31">AB18</f>
        <v>0</v>
      </c>
      <c r="AG18" s="194">
        <f>IF(U18&lt;&gt;"",RANK(AF18,AF18:AF22),"")</f>
        <v>1</v>
      </c>
      <c r="AH18" s="194">
        <f>IF(U18&lt;&gt;"",SUMPRODUCT((AF18:AF22=AF18)*(AA18:AA22&gt;AA18)),"")</f>
        <v>0</v>
      </c>
      <c r="AI18" s="194">
        <f>IF(U18&lt;&gt;"",SUMPRODUCT((AF18:AF22=AF18)*(AA18:AA22=AA18)*(Y18:Y22&gt;Y18)),"")</f>
        <v>0</v>
      </c>
      <c r="AJ18" s="194">
        <f>IF(U18&lt;&gt;"",SUMPRODUCT((AF18:AF22=AF18)*(AA18:AA22=AA18)*(Y18:Y22=Y18)*(AC18:AC22&gt;AC18)),"")</f>
        <v>0</v>
      </c>
      <c r="AK18" s="194">
        <f>IF(U18&lt;&gt;"",SUMPRODUCT((AF18:AF22=AF18)*(AA18:AA22=AA18)*(Y18:Y22=Y18)*(AC18:AC22=AC18)*(AD18:AD22&gt;AD18)),"")</f>
        <v>0</v>
      </c>
      <c r="AL18" s="194">
        <f>IF(U18&lt;&gt;"",SUMPRODUCT((AF18:AF22=AF18)*(AA18:AA22=AA18)*(Y18:Y22=Y18)*(AC18:AC22=AC18)*(AD18:AD22=AD18)*(AE18:AE22&gt;AE18)),"")</f>
        <v>3</v>
      </c>
      <c r="AM18" s="194">
        <f>IF(U18&lt;&gt;"",IF(AM70&lt;&gt;"",IF(T69=3,AM70,AM70+T69),SUM(AG18:AL18)),"")</f>
        <v>4</v>
      </c>
      <c r="AN18" s="194" t="str">
        <f>IF(U18&lt;&gt;"",INDEX(U18:U22,MATCH(1,AM18:AM22,0),0),"")</f>
        <v>Bayern Munich</v>
      </c>
      <c r="CW18" s="194" t="str">
        <f>IF(AN18&lt;&gt;"",AN18,N18)</f>
        <v>Bayern Munich</v>
      </c>
      <c r="CX18" s="194">
        <v>1</v>
      </c>
      <c r="CY18" s="194">
        <v>16</v>
      </c>
      <c r="CZ18" s="194" t="str">
        <f>Matches!H19</f>
        <v>Al Ain</v>
      </c>
      <c r="DA18" s="194">
        <f>IF(CZ2&lt;&gt;"",IF(AND(Matches!J19&lt;&gt;"",Matches!K19&lt;&gt;""),Matches!J19,0),"")</f>
        <v>0</v>
      </c>
      <c r="DB18" s="194">
        <f>IF(CZ2&lt;&gt;"",IF(AND(Matches!J19&lt;&gt;"",Matches!K19&lt;&gt;""),Matches!K19,0),"")</f>
        <v>0</v>
      </c>
      <c r="DC18" s="194" t="str">
        <f>Matches!M19</f>
        <v>Juventus</v>
      </c>
      <c r="DD18" s="194" t="str">
        <f>IF(AND(Matches!J19&lt;&gt;"",Matches!K19&lt;&gt;""),IF(DA18&gt;DB18,"W",IF(DA18=DB18,"D","L")),"")</f>
        <v/>
      </c>
      <c r="DE18" s="194" t="str">
        <f t="shared" si="0"/>
        <v/>
      </c>
      <c r="DH18" s="202"/>
      <c r="DN18" s="20" t="str">
        <f>Setup!E19</f>
        <v>POR</v>
      </c>
      <c r="DP18" s="212"/>
      <c r="DQ18" s="199"/>
      <c r="DR18" s="200" t="str">
        <f t="shared" si="15"/>
        <v>Benfica</v>
      </c>
      <c r="DS18" s="201" t="s">
        <v>615</v>
      </c>
      <c r="DT18" s="200"/>
      <c r="DU18" s="196">
        <v>12</v>
      </c>
      <c r="DV18" s="202">
        <v>-6.5</v>
      </c>
      <c r="DW18" s="20"/>
      <c r="DX18" s="9">
        <v>12</v>
      </c>
      <c r="DY18" s="203">
        <f t="shared" si="13"/>
        <v>45825.875</v>
      </c>
      <c r="DZ18" s="204">
        <f>EB18+3/24</f>
        <v>45825.875</v>
      </c>
      <c r="EA18" s="205">
        <f t="shared" si="14"/>
        <v>45825.875</v>
      </c>
      <c r="EB18" s="204">
        <v>45825.75</v>
      </c>
      <c r="ED18" s="196" t="str">
        <f>INDEX(Language!A1:K117,MATCH(Setup!B19,Language!B1:B117,0),MATCH(Setup!C5,Language!A1:J1,0))</f>
        <v>Benfica</v>
      </c>
    </row>
    <row r="19" spans="1:134" ht="16.5" x14ac:dyDescent="0.25">
      <c r="A19" s="194">
        <f>VLOOKUP(B19,CW18:CX22,2,FALSE)</f>
        <v>4</v>
      </c>
      <c r="B19" s="195" t="str">
        <f t="shared" ref="B19:B21" si="32">ED16</f>
        <v>Auckland City</v>
      </c>
      <c r="C19" s="194">
        <f>SUMPRODUCT((CZ3:CZ54=B19)*(DD3:DD54="W"))+SUMPRODUCT((DC3:DC54=B19)*(DE3:DE54="W"))</f>
        <v>0</v>
      </c>
      <c r="D19" s="194">
        <f>SUMPRODUCT((CZ3:CZ54=B19)*(DD3:DD54="D"))+SUMPRODUCT((DC3:DC54=B19)*(DE3:DE54="D"))</f>
        <v>0</v>
      </c>
      <c r="E19" s="194">
        <f>SUMPRODUCT((CZ3:CZ54=B19)*(DD3:DD54="L"))+SUMPRODUCT((DC3:DC54=B19)*(DE3:DE54="L"))</f>
        <v>0</v>
      </c>
      <c r="F19" s="194">
        <f>SUMIF(CZ3:CZ72,B19,DA3:DA72)+SUMIF(DC3:DC72,B19,DB3:DB72)</f>
        <v>0</v>
      </c>
      <c r="G19" s="194">
        <f>SUMIF(DC3:DC72,B19,DA3:DA72)+SUMIF(CZ3:CZ72,B19,DB3:DB72)</f>
        <v>0</v>
      </c>
      <c r="H19" s="194">
        <f t="shared" si="28"/>
        <v>1000</v>
      </c>
      <c r="I19" s="194">
        <f t="shared" si="29"/>
        <v>0</v>
      </c>
      <c r="J19" s="194">
        <f>IF(Setup!G17&lt;&gt;"",Setup!G17,6)</f>
        <v>6</v>
      </c>
      <c r="K19" s="194">
        <f>IF(COUNTIF(I18:I22,4)&lt;&gt;4,RANK(I19,I18:I22),I71)</f>
        <v>1</v>
      </c>
      <c r="M19" s="194">
        <f>SUMPRODUCT((K18:K21=K19)*(J18:J21&lt;J19))+K19</f>
        <v>1</v>
      </c>
      <c r="N19" s="195" t="str">
        <f>INDEX(B18:B22,MATCH(2,M18:M22,0),0)</f>
        <v>Boca Juniors</v>
      </c>
      <c r="O19" s="194">
        <f>INDEX(K18:K22,MATCH(N19,B18:B22,0),0)</f>
        <v>1</v>
      </c>
      <c r="P19" s="194" t="str">
        <f>IF(P18&lt;&gt;"",N19,"")</f>
        <v>Boca Juniors</v>
      </c>
      <c r="Q19" s="194" t="str">
        <f>IF(Q18&lt;&gt;"",N20,"")</f>
        <v/>
      </c>
      <c r="R19" s="194" t="str">
        <f>IF(R18&lt;&gt;"",N21,"")</f>
        <v/>
      </c>
      <c r="S19" s="194" t="str">
        <f>IF(S18&lt;&gt;"",N22,"")</f>
        <v/>
      </c>
      <c r="U19" s="194" t="str">
        <f t="shared" ref="U19:U21" si="33">IF(P19&lt;&gt;"",P19,"")</f>
        <v>Boca Juniors</v>
      </c>
      <c r="V19" s="194">
        <f>SUMPRODUCT((CZ3:CZ54=U19)*(DC3:DC54=U20)*(DD3:DD54="W"))+SUMPRODUCT((CZ3:CZ54=U19)*(DC3:DC54=U21)*(DD3:DD54="W"))+SUMPRODUCT((CZ3:CZ54=U19)*(DC3:DC54=U22)*(DD3:DD54="W"))+SUMPRODUCT((CZ3:CZ54=U19)*(DC3:DC54=U18)*(DD3:DD54="W"))+SUMPRODUCT((CZ3:CZ54=U20)*(DC3:DC54=U19)*(DE3:DE54="W"))+SUMPRODUCT((CZ3:CZ54=U21)*(DC3:DC54=U19)*(DE3:DE54="W"))+SUMPRODUCT((CZ3:CZ54=U22)*(DC3:DC54=U19)*(DE3:DE54="W"))+SUMPRODUCT((CZ3:CZ54=U18)*(DC3:DC54=U19)*(DE3:DE54="W"))</f>
        <v>0</v>
      </c>
      <c r="W19" s="194">
        <f>SUMPRODUCT((CZ3:CZ54=U19)*(DC3:DC54=U20)*(DD3:DD54="D"))+SUMPRODUCT((CZ3:CZ54=U19)*(DC3:DC54=U21)*(DD3:DD54="D"))+SUMPRODUCT((CZ3:CZ54=U19)*(DC3:DC54=U22)*(DD3:DD54="D"))+SUMPRODUCT((CZ3:CZ54=U19)*(DC3:DC54=U18)*(DD3:DD54="D"))+SUMPRODUCT((CZ3:CZ54=U20)*(DC3:DC54=U19)*(DD3:DD54="D"))+SUMPRODUCT((CZ3:CZ54=U21)*(DC3:DC54=U19)*(DD3:DD54="D"))+SUMPRODUCT((CZ3:CZ54=U22)*(DC3:DC54=U19)*(DD3:DD54="D"))+SUMPRODUCT((CZ3:CZ54=U18)*(DC3:DC54=U19)*(DD3:DD54="D"))</f>
        <v>0</v>
      </c>
      <c r="X19" s="194">
        <f>SUMPRODUCT((CZ3:CZ54=U19)*(DC3:DC54=U20)*(DD3:DD54="L"))+SUMPRODUCT((CZ3:CZ54=U19)*(DC3:DC54=U21)*(DD3:DD54="L"))+SUMPRODUCT((CZ3:CZ54=U19)*(DC3:DC54=U22)*(DD3:DD54="L"))+SUMPRODUCT((CZ3:CZ54=U19)*(DC3:DC54=U18)*(DD3:DD54="L"))+SUMPRODUCT((CZ3:CZ54=U20)*(DC3:DC54=U19)*(DE3:DE54="L"))+SUMPRODUCT((CZ3:CZ54=U21)*(DC3:DC54=U19)*(DE3:DE54="L"))+SUMPRODUCT((CZ3:CZ54=U22)*(DC3:DC54=U19)*(DE3:DE54="L"))+SUMPRODUCT((CZ3:CZ54=U18)*(DC3:DC54=U19)*(DE3:DE54="L"))</f>
        <v>0</v>
      </c>
      <c r="Y19" s="194">
        <f>SUMPRODUCT((CZ3:CZ54=U19)*(DC3:DC54=U20)*DA3:DA54)+SUMPRODUCT((CZ3:CZ54=U19)*(DC3:DC54=U21)*DA3:DA54)+SUMPRODUCT((CZ3:CZ54=U19)*(DC3:DC54=U22)*DA3:DA54)+SUMPRODUCT((CZ3:CZ54=U19)*(DC3:DC54=U18)*DA3:DA54)+SUMPRODUCT((CZ3:CZ54=U20)*(DC3:DC54=U19)*DB3:DB54)+SUMPRODUCT((CZ3:CZ54=U21)*(DC3:DC54=U19)*DB3:DB54)+SUMPRODUCT((CZ3:CZ54=U22)*(DC3:DC54=U19)*DB3:DB54)+SUMPRODUCT((CZ3:CZ54=U18)*(DC3:DC54=U19)*DB3:DB54)</f>
        <v>0</v>
      </c>
      <c r="Z19" s="194">
        <f>SUMPRODUCT((CZ3:CZ54=U19)*(DC3:DC54=U20)*DB3:DB54)+SUMPRODUCT((CZ3:CZ54=U19)*(DC3:DC54=U21)*DB3:DB54)+SUMPRODUCT((CZ3:CZ54=U19)*(DC3:DC54=U22)*DB3:DB54)+SUMPRODUCT((CZ3:CZ54=U19)*(DC3:DC54=U18)*DB3:DB54)+SUMPRODUCT((CZ3:CZ54=U20)*(DC3:DC54=U19)*DA3:DA54)+SUMPRODUCT((CZ3:CZ54=U21)*(DC3:DC54=U19)*DA3:DA54)+SUMPRODUCT((CZ3:CZ54=U22)*(DC3:DC54=U19)*DA3:DA54)+SUMPRODUCT((CZ3:CZ54=U18)*(DC3:DC54=U19)*DA3:DA54)</f>
        <v>0</v>
      </c>
      <c r="AA19" s="194">
        <f>Y19-Z19+1000</f>
        <v>1000</v>
      </c>
      <c r="AB19" s="194">
        <f t="shared" si="30"/>
        <v>0</v>
      </c>
      <c r="AC19" s="194">
        <f>IF(U19&lt;&gt;"",VLOOKUP(U19,B4:H52,7,FALSE),"")</f>
        <v>1000</v>
      </c>
      <c r="AD19" s="194">
        <f>IF(U19&lt;&gt;"",VLOOKUP(U19,B4:H52,5,FALSE),"")</f>
        <v>0</v>
      </c>
      <c r="AE19" s="194">
        <f>IF(U19&lt;&gt;"",VLOOKUP(U19,B4:J52,9,FALSE),"")</f>
        <v>14</v>
      </c>
      <c r="AF19" s="194">
        <f t="shared" si="31"/>
        <v>0</v>
      </c>
      <c r="AG19" s="194">
        <f>IF(U19&lt;&gt;"",RANK(AF19,AF18:AF22),"")</f>
        <v>1</v>
      </c>
      <c r="AH19" s="194">
        <f>IF(U19&lt;&gt;"",SUMPRODUCT((AF18:AF22=AF19)*(AA18:AA22&gt;AA19)),"")</f>
        <v>0</v>
      </c>
      <c r="AI19" s="194">
        <f>IF(U19&lt;&gt;"",SUMPRODUCT((AF18:AF22=AF19)*(AA18:AA22=AA19)*(Y18:Y22&gt;Y19)),"")</f>
        <v>0</v>
      </c>
      <c r="AJ19" s="194">
        <f>IF(U19&lt;&gt;"",SUMPRODUCT((AF18:AF22=AF19)*(AA18:AA22=AA19)*(Y18:Y22=Y19)*(AC18:AC22&gt;AC19)),"")</f>
        <v>0</v>
      </c>
      <c r="AK19" s="194">
        <f>IF(U19&lt;&gt;"",SUMPRODUCT((AF18:AF22=AF19)*(AA18:AA22=AA19)*(Y18:Y22=Y19)*(AC18:AC22=AC19)*(AD18:AD22&gt;AD19)),"")</f>
        <v>0</v>
      </c>
      <c r="AL19" s="194">
        <f>IF(U19&lt;&gt;"",SUMPRODUCT((AF18:AF22=AF19)*(AA18:AA22=AA19)*(Y18:Y22=Y19)*(AC18:AC22=AC19)*(AD18:AD22=AD19)*(AE18:AE22&gt;AE19)),"")</f>
        <v>2</v>
      </c>
      <c r="AM19" s="194">
        <f>IF(U19&lt;&gt;"",IF(AM71&lt;&gt;"",IF(T69=3,AM71,AM71+T69),SUM(AG19:AL19)),"")</f>
        <v>3</v>
      </c>
      <c r="AN19" s="194" t="str">
        <f>IF(U19&lt;&gt;"",INDEX(U18:U22,MATCH(2,AM18:AM22,0),0),"")</f>
        <v>Benfica</v>
      </c>
      <c r="AO19" s="194" t="str">
        <f>IF(Q18&lt;&gt;"",Q18,"")</f>
        <v/>
      </c>
      <c r="AP19" s="194">
        <f>SUMPRODUCT((CZ3:CZ54=AO19)*(DC3:DC54=AO20)*(DD3:DD54="W"))+SUMPRODUCT((CZ3:CZ54=AO19)*(DC3:DC54=AO21)*(DD3:DD54="W"))+SUMPRODUCT((CZ3:CZ54=AO19)*(DC3:DC54=AO22)*(DD3:DD54="W"))+SUMPRODUCT((CZ3:CZ54=AO20)*(DC3:DC54=AO19)*(DE3:DE54="W"))+SUMPRODUCT((CZ3:CZ54=AO21)*(DC3:DC54=AO19)*(DE3:DE54="W"))+SUMPRODUCT((CZ3:CZ54=AO22)*(DC3:DC54=AO19)*(DE3:DE54="W"))</f>
        <v>0</v>
      </c>
      <c r="AQ19" s="194">
        <f>SUMPRODUCT((CZ3:CZ54=AO19)*(DC3:DC54=AO20)*(DD3:DD54="D"))+SUMPRODUCT((CZ3:CZ54=AO19)*(DC3:DC54=AO21)*(DD3:DD54="D"))+SUMPRODUCT((CZ3:CZ54=AO19)*(DC3:DC54=AO22)*(DD3:DD54="D"))+SUMPRODUCT((CZ3:CZ54=AO20)*(DC3:DC54=AO19)*(DD3:DD54="D"))+SUMPRODUCT((CZ3:CZ54=AO21)*(DC3:DC54=AO19)*(DD3:DD54="D"))+SUMPRODUCT((CZ3:CZ54=AO22)*(DC3:DC54=AO19)*(DD3:DD54="D"))</f>
        <v>0</v>
      </c>
      <c r="AR19" s="194">
        <f>SUMPRODUCT((CZ3:CZ54=AO19)*(DC3:DC54=AO20)*(DD3:DD54="L"))+SUMPRODUCT((CZ3:CZ54=AO19)*(DC3:DC54=AO21)*(DD3:DD54="L"))+SUMPRODUCT((CZ3:CZ54=AO19)*(DC3:DC54=AO22)*(DD3:DD54="L"))+SUMPRODUCT((CZ3:CZ54=AO20)*(DC3:DC54=AO19)*(DE3:DE54="L"))+SUMPRODUCT((CZ3:CZ54=AO21)*(DC3:DC54=AO19)*(DE3:DE54="L"))+SUMPRODUCT((CZ3:CZ54=AO22)*(DC3:DC54=AO19)*(DE3:DE54="L"))</f>
        <v>0</v>
      </c>
      <c r="AS19" s="194">
        <f>SUMPRODUCT((CZ3:CZ54=AO19)*(DC3:DC54=AO20)*DA3:DA54)+SUMPRODUCT((CZ3:CZ54=AO19)*(DC3:DC54=AO21)*DA3:DA54)+SUMPRODUCT((CZ3:CZ54=AO19)*(DC3:DC54=AO22)*DA3:DA54)+SUMPRODUCT((CZ3:CZ54=AO19)*(DC3:DC54=AO18)*DA3:DA54)+SUMPRODUCT((CZ3:CZ54=AO20)*(DC3:DC54=AO19)*DB3:DB54)+SUMPRODUCT((CZ3:CZ54=AO21)*(DC3:DC54=AO19)*DB3:DB54)+SUMPRODUCT((CZ3:CZ54=AO22)*(DC3:DC54=AO19)*DB3:DB54)+SUMPRODUCT((CZ3:CZ54=AO18)*(DC3:DC54=AO19)*DB3:DB54)</f>
        <v>0</v>
      </c>
      <c r="AT19" s="194">
        <f>SUMPRODUCT((CZ3:CZ54=AO19)*(DC3:DC54=AO20)*DB3:DB54)+SUMPRODUCT((CZ3:CZ54=AO19)*(DC3:DC54=AO21)*DB3:DB54)+SUMPRODUCT((CZ3:CZ54=AO19)*(DC3:DC54=AO22)*DB3:DB54)+SUMPRODUCT((CZ3:CZ54=AO19)*(DC3:DC54=AO18)*DB3:DB54)+SUMPRODUCT((CZ3:CZ54=AO20)*(DC3:DC54=AO19)*DA3:DA54)+SUMPRODUCT((CZ3:CZ54=AO21)*(DC3:DC54=AO19)*DA3:DA54)+SUMPRODUCT((CZ3:CZ54=AO22)*(DC3:DC54=AO19)*DA3:DA54)+SUMPRODUCT((CZ3:CZ54=AO18)*(DC3:DC54=AO19)*DA3:DA54)</f>
        <v>0</v>
      </c>
      <c r="AU19" s="194">
        <f>AS19-AT19+1000</f>
        <v>1000</v>
      </c>
      <c r="AV19" s="194" t="str">
        <f t="shared" ref="AV19:AV21" si="34">IF(AO19&lt;&gt;"",AP19*3+AQ19*1,"")</f>
        <v/>
      </c>
      <c r="AW19" s="194" t="str">
        <f>IF(AO19&lt;&gt;"",VLOOKUP(AO19,B4:H52,7,FALSE),"")</f>
        <v/>
      </c>
      <c r="AX19" s="194" t="str">
        <f>IF(AO19&lt;&gt;"",VLOOKUP(AO19,B4:H52,5,FALSE),"")</f>
        <v/>
      </c>
      <c r="AY19" s="194" t="str">
        <f>IF(AO19&lt;&gt;"",VLOOKUP(AO19,B4:J52,9,FALSE),"")</f>
        <v/>
      </c>
      <c r="AZ19" s="194" t="str">
        <f t="shared" ref="AZ19:AZ21" si="35">AV19</f>
        <v/>
      </c>
      <c r="BA19" s="194" t="str">
        <f>IF(AO19&lt;&gt;"",RANK(AZ19,AZ18:AZ22),"")</f>
        <v/>
      </c>
      <c r="BB19" s="194" t="str">
        <f>IF(AO19&lt;&gt;"",SUMPRODUCT((AZ18:AZ22=AZ19)*(AU18:AU22&gt;AU19)),"")</f>
        <v/>
      </c>
      <c r="BC19" s="194" t="str">
        <f>IF(AO19&lt;&gt;"",SUMPRODUCT((AZ18:AZ22=AZ19)*(AU18:AU22=AU19)*(AS18:AS22&gt;AS19)),"")</f>
        <v/>
      </c>
      <c r="BD19" s="194" t="str">
        <f>IF(AO19&lt;&gt;"",SUMPRODUCT((AZ18:AZ22=AZ19)*(AU18:AU22=AU19)*(AS18:AS22=AS19)*(AW18:AW22&gt;AW19)),"")</f>
        <v/>
      </c>
      <c r="BE19" s="194" t="str">
        <f>IF(AO19&lt;&gt;"",SUMPRODUCT((AZ18:AZ22=AZ19)*(AU18:AU22=AU19)*(AS18:AS22=AS19)*(AW18:AW22=AW19)*(AX18:AX22&gt;AX19)),"")</f>
        <v/>
      </c>
      <c r="BF19" s="194" t="str">
        <f>IF(AO19&lt;&gt;"",SUMPRODUCT((AZ18:AZ22=AZ19)*(AU18:AU22=AU19)*(AS18:AS22=AS19)*(AW18:AW22=AW19)*(AX18:AX22=AX19)*(AY18:AY22&gt;AY19)),"")</f>
        <v/>
      </c>
      <c r="BG19" s="194" t="str">
        <f>IF(AO19&lt;&gt;"",IF(BG71&lt;&gt;"",IF(AN69=3,BG71,BG71+AN69),SUM(BA19:BF19)+1),"")</f>
        <v/>
      </c>
      <c r="BH19" s="194" t="str">
        <f>IF(AO19&lt;&gt;"",INDEX(AO19:AO22,MATCH(2,BG19:BG22,0),0),"")</f>
        <v/>
      </c>
      <c r="CW19" s="194" t="str">
        <f>IF(BH19&lt;&gt;"",BH19,IF(AN19&lt;&gt;"",AN19,N19))</f>
        <v>Benfica</v>
      </c>
      <c r="CX19" s="194">
        <v>2</v>
      </c>
      <c r="CY19" s="194">
        <v>17</v>
      </c>
      <c r="CZ19" s="194" t="str">
        <f>Matches!H20</f>
        <v>Palmeiras</v>
      </c>
      <c r="DA19" s="194">
        <f>IF(CZ2&lt;&gt;"",IF(AND(Matches!J20&lt;&gt;"",Matches!K20&lt;&gt;""),Matches!J20,0),"")</f>
        <v>0</v>
      </c>
      <c r="DB19" s="194">
        <f>IF(CZ2&lt;&gt;"",IF(AND(Matches!J20&lt;&gt;"",Matches!K20&lt;&gt;""),Matches!K20,0),"")</f>
        <v>0</v>
      </c>
      <c r="DC19" s="194" t="str">
        <f>Matches!M20</f>
        <v>Al Ahly</v>
      </c>
      <c r="DD19" s="194" t="str">
        <f>IF(AND(Matches!J20&lt;&gt;"",Matches!K20&lt;&gt;""),IF(DA19&gt;DB19,"W",IF(DA19=DB19,"D","L")),"")</f>
        <v/>
      </c>
      <c r="DE19" s="194" t="str">
        <f t="shared" si="0"/>
        <v/>
      </c>
      <c r="DH19" s="202"/>
      <c r="DN19" s="20" t="str">
        <f>Setup!E20</f>
        <v>BRA</v>
      </c>
      <c r="DP19" s="212" t="s">
        <v>81</v>
      </c>
      <c r="DQ19" s="199"/>
      <c r="DR19" s="200" t="str">
        <f t="shared" si="15"/>
        <v>Flamengo</v>
      </c>
      <c r="DS19" s="201" t="s">
        <v>616</v>
      </c>
      <c r="DT19" s="200"/>
      <c r="DU19" s="196">
        <v>13</v>
      </c>
      <c r="DV19" s="202">
        <v>-6</v>
      </c>
      <c r="DW19" s="20"/>
      <c r="DX19" s="9">
        <v>13</v>
      </c>
      <c r="DY19" s="203">
        <f t="shared" si="13"/>
        <v>45826.5</v>
      </c>
      <c r="DZ19" s="204">
        <v>45826.5</v>
      </c>
      <c r="EA19" s="205">
        <f t="shared" si="14"/>
        <v>45826.5</v>
      </c>
      <c r="EB19" s="204">
        <v>45826.5</v>
      </c>
      <c r="EC19" s="196">
        <f>SUM(Matches!S17:S20)</f>
        <v>10</v>
      </c>
      <c r="ED19" s="196" t="str">
        <f>INDEX(Language!A1:K117,MATCH(Setup!B20,Language!B1:B117,0),MATCH(Setup!C5,Language!A1:J1,0))</f>
        <v>Flamengo</v>
      </c>
    </row>
    <row r="20" spans="1:134" x14ac:dyDescent="0.25">
      <c r="A20" s="194">
        <f>VLOOKUP(B20,CW18:CX22,2,FALSE)</f>
        <v>3</v>
      </c>
      <c r="B20" s="195" t="str">
        <f t="shared" si="32"/>
        <v>Boca Juniors</v>
      </c>
      <c r="C20" s="194">
        <f>SUMPRODUCT((CZ3:CZ54=B20)*(DD3:DD54="W"))+SUMPRODUCT((DC3:DC54=B20)*(DE3:DE54="W"))</f>
        <v>0</v>
      </c>
      <c r="D20" s="194">
        <f>SUMPRODUCT((CZ3:CZ54=B20)*(DD3:DD54="D"))+SUMPRODUCT((DC3:DC54=B20)*(DE3:DE54="D"))</f>
        <v>0</v>
      </c>
      <c r="E20" s="194">
        <f>SUMPRODUCT((CZ3:CZ54=B20)*(DD3:DD54="L"))+SUMPRODUCT((DC3:DC54=B20)*(DE3:DE54="L"))</f>
        <v>0</v>
      </c>
      <c r="F20" s="194">
        <f>SUMIF(CZ3:CZ72,B20,DA3:DA72)+SUMIF(DC3:DC72,B20,DB3:DB72)</f>
        <v>0</v>
      </c>
      <c r="G20" s="194">
        <f>SUMIF(DC3:DC72,B20,DA3:DA72)+SUMIF(CZ3:CZ72,B20,DB3:DB72)</f>
        <v>0</v>
      </c>
      <c r="H20" s="194">
        <f t="shared" si="28"/>
        <v>1000</v>
      </c>
      <c r="I20" s="194">
        <f t="shared" si="29"/>
        <v>0</v>
      </c>
      <c r="J20" s="194">
        <f>IF(Setup!G18&lt;&gt;"",Setup!G18,14)</f>
        <v>14</v>
      </c>
      <c r="K20" s="194">
        <f>IF(COUNTIF(I18:I22,4)&lt;&gt;4,RANK(I20,I18:I22),I72)</f>
        <v>1</v>
      </c>
      <c r="M20" s="194">
        <f>SUMPRODUCT((K18:K21=K20)*(J18:J21&lt;J20))+K20</f>
        <v>2</v>
      </c>
      <c r="N20" s="195" t="str">
        <f>IF(Matches!B86="© 2025 | journalSHEET.com",INDEX(B18:B22,MATCH(3,M18:M22,0),0),"Boca Junior")</f>
        <v>Benfica</v>
      </c>
      <c r="O20" s="194">
        <f>INDEX(K18:K22,MATCH(N20,B18:B22,0),0)</f>
        <v>1</v>
      </c>
      <c r="P20" s="194" t="str">
        <f>IF(AND(P19&lt;&gt;"",O20=1),N20,"")</f>
        <v>Benfica</v>
      </c>
      <c r="Q20" s="194" t="str">
        <f>IF(AND(Q19&lt;&gt;"",O21=2),N21,"")</f>
        <v/>
      </c>
      <c r="R20" s="194" t="str">
        <f>IF(AND(R19&lt;&gt;"",O22=3),N22,"")</f>
        <v/>
      </c>
      <c r="U20" s="194" t="str">
        <f t="shared" si="33"/>
        <v>Benfica</v>
      </c>
      <c r="V20" s="194">
        <f>SUMPRODUCT((CZ3:CZ54=U20)*(DC3:DC54=U21)*(DD3:DD54="W"))+SUMPRODUCT((CZ3:CZ54=U20)*(DC3:DC54=U22)*(DD3:DD54="W"))+SUMPRODUCT((CZ3:CZ54=U20)*(DC3:DC54=U18)*(DD3:DD54="W"))+SUMPRODUCT((CZ3:CZ54=U20)*(DC3:DC54=U19)*(DD3:DD54="W"))+SUMPRODUCT((CZ3:CZ54=U21)*(DC3:DC54=U20)*(DE3:DE54="W"))+SUMPRODUCT((CZ3:CZ54=U22)*(DC3:DC54=U20)*(DE3:DE54="W"))+SUMPRODUCT((CZ3:CZ54=U18)*(DC3:DC54=U20)*(DE3:DE54="W"))+SUMPRODUCT((CZ3:CZ54=U19)*(DC3:DC54=U20)*(DE3:DE54="W"))</f>
        <v>0</v>
      </c>
      <c r="W20" s="194">
        <f>SUMPRODUCT((CZ3:CZ54=U20)*(DC3:DC54=U21)*(DD3:DD54="D"))+SUMPRODUCT((CZ3:CZ54=U20)*(DC3:DC54=U22)*(DD3:DD54="D"))+SUMPRODUCT((CZ3:CZ54=U20)*(DC3:DC54=U18)*(DD3:DD54="D"))+SUMPRODUCT((CZ3:CZ54=U20)*(DC3:DC54=U19)*(DD3:DD54="D"))+SUMPRODUCT((CZ3:CZ54=U21)*(DC3:DC54=U20)*(DD3:DD54="D"))+SUMPRODUCT((CZ3:CZ54=U22)*(DC3:DC54=U20)*(DD3:DD54="D"))+SUMPRODUCT((CZ3:CZ54=U18)*(DC3:DC54=U20)*(DD3:DD54="D"))+SUMPRODUCT((CZ3:CZ54=U19)*(DC3:DC54=U20)*(DD3:DD54="D"))</f>
        <v>0</v>
      </c>
      <c r="X20" s="194">
        <f>SUMPRODUCT((CZ3:CZ54=U20)*(DC3:DC54=U21)*(DD3:DD54="L"))+SUMPRODUCT((CZ3:CZ54=U20)*(DC3:DC54=U22)*(DD3:DD54="L"))+SUMPRODUCT((CZ3:CZ54=U20)*(DC3:DC54=U18)*(DD3:DD54="L"))+SUMPRODUCT((CZ3:CZ54=U20)*(DC3:DC54=U19)*(DD3:DD54="L"))+SUMPRODUCT((CZ3:CZ54=U21)*(DC3:DC54=U20)*(DE3:DE54="L"))+SUMPRODUCT((CZ3:CZ54=U22)*(DC3:DC54=U20)*(DE3:DE54="L"))+SUMPRODUCT((CZ3:CZ54=U18)*(DC3:DC54=U20)*(DE3:DE54="L"))+SUMPRODUCT((CZ3:CZ54=U19)*(DC3:DC54=U20)*(DE3:DE54="L"))</f>
        <v>0</v>
      </c>
      <c r="Y20" s="194">
        <f>SUMPRODUCT((CZ3:CZ54=U20)*(DC3:DC54=U21)*DA3:DA54)+SUMPRODUCT((CZ3:CZ54=U20)*(DC3:DC54=U22)*DA3:DA54)+SUMPRODUCT((CZ3:CZ54=U20)*(DC3:DC54=U18)*DA3:DA54)+SUMPRODUCT((CZ3:CZ54=U20)*(DC3:DC54=U19)*DA3:DA54)+SUMPRODUCT((CZ3:CZ54=U21)*(DC3:DC54=U20)*DB3:DB54)+SUMPRODUCT((CZ3:CZ54=U22)*(DC3:DC54=U20)*DB3:DB54)+SUMPRODUCT((CZ3:CZ54=U18)*(DC3:DC54=U20)*DB3:DB54)+SUMPRODUCT((CZ3:CZ54=U19)*(DC3:DC54=U20)*DB3:DB54)</f>
        <v>0</v>
      </c>
      <c r="Z20" s="194">
        <f>SUMPRODUCT((CZ3:CZ54=U20)*(DC3:DC54=U21)*DB3:DB54)+SUMPRODUCT((CZ3:CZ54=U20)*(DC3:DC54=U22)*DB3:DB54)+SUMPRODUCT((CZ3:CZ54=U20)*(DC3:DC54=U18)*DB3:DB54)+SUMPRODUCT((CZ3:CZ54=U20)*(DC3:DC54=U19)*DB3:DB54)+SUMPRODUCT((CZ3:CZ54=U21)*(DC3:DC54=U20)*DA3:DA54)+SUMPRODUCT((CZ3:CZ54=U22)*(DC3:DC54=U20)*DA3:DA54)+SUMPRODUCT((CZ3:CZ54=U18)*(DC3:DC54=U20)*DA3:DA54)+SUMPRODUCT((CZ3:CZ54=U19)*(DC3:DC54=U20)*DA3:DA54)</f>
        <v>0</v>
      </c>
      <c r="AA20" s="194">
        <f>Y20-Z20+1000</f>
        <v>1000</v>
      </c>
      <c r="AB20" s="194">
        <f t="shared" si="30"/>
        <v>0</v>
      </c>
      <c r="AC20" s="194">
        <f>IF(U20&lt;&gt;"",VLOOKUP(U20,B4:H52,7,FALSE),"")</f>
        <v>1000</v>
      </c>
      <c r="AD20" s="194">
        <f>IF(U20&lt;&gt;"",VLOOKUP(U20,B4:H52,5,FALSE),"")</f>
        <v>0</v>
      </c>
      <c r="AE20" s="194">
        <f>IF(U20&lt;&gt;"",VLOOKUP(U20,B4:J52,9,FALSE),"")</f>
        <v>22</v>
      </c>
      <c r="AF20" s="194">
        <f t="shared" si="31"/>
        <v>0</v>
      </c>
      <c r="AG20" s="194">
        <f>IF(U20&lt;&gt;"",RANK(AF20,AF18:AF22),"")</f>
        <v>1</v>
      </c>
      <c r="AH20" s="194">
        <f>IF(U20&lt;&gt;"",SUMPRODUCT((AF18:AF22=AF20)*(AA18:AA22&gt;AA20)),"")</f>
        <v>0</v>
      </c>
      <c r="AI20" s="194">
        <f>IF(U20&lt;&gt;"",SUMPRODUCT((AF18:AF22=AF20)*(AA18:AA22=AA20)*(Y18:Y22&gt;Y20)),"")</f>
        <v>0</v>
      </c>
      <c r="AJ20" s="194">
        <f>IF(U20&lt;&gt;"",SUMPRODUCT((AF18:AF22=AF20)*(AA18:AA22=AA20)*(Y18:Y22=Y20)*(AC18:AC22&gt;AC20)),"")</f>
        <v>0</v>
      </c>
      <c r="AK20" s="194">
        <f>IF(U20&lt;&gt;"",SUMPRODUCT((AF18:AF22=AF20)*(AA18:AA22=AA20)*(Y18:Y22=Y20)*(AC18:AC22=AC20)*(AD18:AD22&gt;AD20)),"")</f>
        <v>0</v>
      </c>
      <c r="AL20" s="194">
        <f>IF(U20&lt;&gt;"",SUMPRODUCT((AF18:AF22=AF20)*(AA18:AA22=AA20)*(Y18:Y22=Y20)*(AC18:AC22=AC20)*(AD18:AD22=AD20)*(AE18:AE22&gt;AE20)),"")</f>
        <v>1</v>
      </c>
      <c r="AM20" s="194">
        <f>IF(U20&lt;&gt;"",IF(AM72&lt;&gt;"",IF(T69=3,AM72,AM72+T69),SUM(AG20:AL20)),"")</f>
        <v>2</v>
      </c>
      <c r="AN20" s="194" t="str">
        <f>IF(U20&lt;&gt;"",INDEX(U18:U22,MATCH(3,AM18:AM22,0),0),"")</f>
        <v>Boca Juniors</v>
      </c>
      <c r="AO20" s="194" t="str">
        <f>IF(Q19&lt;&gt;"",Q19,"")</f>
        <v/>
      </c>
      <c r="AP20" s="194">
        <f>SUMPRODUCT((CZ3:CZ54=AO20)*(DC3:DC54=AO21)*(DD3:DD54="W"))+SUMPRODUCT((CZ3:CZ54=AO20)*(DC3:DC54=AO22)*(DD3:DD54="W"))+SUMPRODUCT((CZ3:CZ54=AO20)*(DC3:DC54=AO19)*(DD3:DD54="W"))+SUMPRODUCT((CZ3:CZ54=AO21)*(DC3:DC54=AO20)*(DE3:DE54="W"))+SUMPRODUCT((CZ3:CZ54=AO22)*(DC3:DC54=AO20)*(DE3:DE54="W"))+SUMPRODUCT((CZ3:CZ54=AO19)*(DC3:DC54=AO20)*(DE3:DE54="W"))</f>
        <v>0</v>
      </c>
      <c r="AQ20" s="194">
        <f>SUMPRODUCT((CZ3:CZ54=AO20)*(DC3:DC54=AO21)*(DD3:DD54="D"))+SUMPRODUCT((CZ3:CZ54=AO20)*(DC3:DC54=AO22)*(DD3:DD54="D"))+SUMPRODUCT((CZ3:CZ54=AO20)*(DC3:DC54=AO19)*(DD3:DD54="D"))+SUMPRODUCT((CZ3:CZ54=AO21)*(DC3:DC54=AO20)*(DD3:DD54="D"))+SUMPRODUCT((CZ3:CZ54=AO22)*(DC3:DC54=AO20)*(DD3:DD54="D"))+SUMPRODUCT((CZ3:CZ54=AO19)*(DC3:DC54=AO20)*(DD3:DD54="D"))</f>
        <v>0</v>
      </c>
      <c r="AR20" s="194">
        <f>SUMPRODUCT((CZ3:CZ54=AO20)*(DC3:DC54=AO21)*(DD3:DD54="L"))+SUMPRODUCT((CZ3:CZ54=AO20)*(DC3:DC54=AO22)*(DD3:DD54="L"))+SUMPRODUCT((CZ3:CZ54=AO20)*(DC3:DC54=AO19)*(DD3:DD54="L"))+SUMPRODUCT((CZ3:CZ54=AO21)*(DC3:DC54=AO20)*(DE3:DE54="L"))+SUMPRODUCT((CZ3:CZ54=AO22)*(DC3:DC54=AO20)*(DE3:DE54="L"))+SUMPRODUCT((CZ3:CZ54=AO19)*(DC3:DC54=AO20)*(DE3:DE54="L"))</f>
        <v>0</v>
      </c>
      <c r="AS20" s="194">
        <f>SUMPRODUCT((CZ3:CZ54=AO20)*(DC3:DC54=AO21)*DA3:DA54)+SUMPRODUCT((CZ3:CZ54=AO20)*(DC3:DC54=AO22)*DA3:DA54)+SUMPRODUCT((CZ3:CZ54=AO20)*(DC3:DC54=AO18)*DA3:DA54)+SUMPRODUCT((CZ3:CZ54=AO20)*(DC3:DC54=AO19)*DA3:DA54)+SUMPRODUCT((CZ3:CZ54=AO21)*(DC3:DC54=AO20)*DB3:DB54)+SUMPRODUCT((CZ3:CZ54=AO22)*(DC3:DC54=AO20)*DB3:DB54)+SUMPRODUCT((CZ3:CZ54=AO18)*(DC3:DC54=AO20)*DB3:DB54)+SUMPRODUCT((CZ3:CZ54=AO19)*(DC3:DC54=AO20)*DB3:DB54)</f>
        <v>0</v>
      </c>
      <c r="AT20" s="194">
        <f>SUMPRODUCT((CZ3:CZ54=AO20)*(DC3:DC54=AO21)*DB3:DB54)+SUMPRODUCT((CZ3:CZ54=AO20)*(DC3:DC54=AO22)*DB3:DB54)+SUMPRODUCT((CZ3:CZ54=AO20)*(DC3:DC54=AO18)*DB3:DB54)+SUMPRODUCT((CZ3:CZ54=AO20)*(DC3:DC54=AO19)*DB3:DB54)+SUMPRODUCT((CZ3:CZ54=AO21)*(DC3:DC54=AO20)*DA3:DA54)+SUMPRODUCT((CZ3:CZ54=AO22)*(DC3:DC54=AO20)*DA3:DA54)+SUMPRODUCT((CZ3:CZ54=AO18)*(DC3:DC54=AO20)*DA3:DA54)+SUMPRODUCT((CZ3:CZ54=AO19)*(DC3:DC54=AO20)*DA3:DA54)</f>
        <v>0</v>
      </c>
      <c r="AU20" s="194">
        <f>AS20-AT20+1000</f>
        <v>1000</v>
      </c>
      <c r="AV20" s="194" t="str">
        <f t="shared" si="34"/>
        <v/>
      </c>
      <c r="AW20" s="194" t="str">
        <f>IF(AO20&lt;&gt;"",VLOOKUP(AO20,B4:H52,7,FALSE),"")</f>
        <v/>
      </c>
      <c r="AX20" s="194" t="str">
        <f>IF(AO20&lt;&gt;"",VLOOKUP(AO20,B4:H52,5,FALSE),"")</f>
        <v/>
      </c>
      <c r="AY20" s="194" t="str">
        <f>IF(AO20&lt;&gt;"",VLOOKUP(AO20,B4:J52,9,FALSE),"")</f>
        <v/>
      </c>
      <c r="AZ20" s="194" t="str">
        <f t="shared" si="35"/>
        <v/>
      </c>
      <c r="BA20" s="194" t="str">
        <f>IF(AO20&lt;&gt;"",RANK(AZ20,AZ18:AZ22),"")</f>
        <v/>
      </c>
      <c r="BB20" s="194" t="str">
        <f>IF(AO20&lt;&gt;"",SUMPRODUCT((AZ18:AZ22=AZ20)*(AU18:AU22&gt;AU20)),"")</f>
        <v/>
      </c>
      <c r="BC20" s="194" t="str">
        <f>IF(AO20&lt;&gt;"",SUMPRODUCT((AZ18:AZ22=AZ20)*(AU18:AU22=AU20)*(AS18:AS22&gt;AS20)),"")</f>
        <v/>
      </c>
      <c r="BD20" s="194" t="str">
        <f>IF(AO20&lt;&gt;"",SUMPRODUCT((AZ18:AZ22=AZ20)*(AU18:AU22=AU20)*(AS18:AS22=AS20)*(AW18:AW22&gt;AW20)),"")</f>
        <v/>
      </c>
      <c r="BE20" s="194" t="str">
        <f>IF(AO20&lt;&gt;"",SUMPRODUCT((AZ18:AZ22=AZ20)*(AU18:AU22=AU20)*(AS18:AS22=AS20)*(AW18:AW22=AW20)*(AX18:AX22&gt;AX20)),"")</f>
        <v/>
      </c>
      <c r="BF20" s="194" t="str">
        <f>IF(AO20&lt;&gt;"",SUMPRODUCT((AZ18:AZ22=AZ20)*(AU18:AU22=AU20)*(AS18:AS22=AS20)*(AW18:AW22=AW20)*(AX18:AX22=AX20)*(AY18:AY22&gt;AY20)),"")</f>
        <v/>
      </c>
      <c r="BG20" s="194" t="str">
        <f>IF(AO20&lt;&gt;"",IF(BG72&lt;&gt;"",IF(AN69=3,BG72,BG72+AN69),SUM(BA20:BF20)+1),"")</f>
        <v/>
      </c>
      <c r="BH20" s="194" t="str">
        <f>IF(AO20&lt;&gt;"",INDEX(AO19:AO22,MATCH(3,BG19:BG22,0),0),"")</f>
        <v/>
      </c>
      <c r="BI20" s="194" t="str">
        <f>IF(R18&lt;&gt;"",R18,"")</f>
        <v/>
      </c>
      <c r="BJ20" s="194">
        <f>SUMPRODUCT((CZ3:CZ54=BI20)*(DC3:DC54=BI21)*(DD3:DD54="W"))+SUMPRODUCT((CZ3:CZ54=BI20)*(DC3:DC54=BI22)*(DD3:DD54="W"))+SUMPRODUCT((CZ3:CZ54=BI20)*(DC3:DC54=BI23)*(DD3:DD54="W"))+SUMPRODUCT((CZ3:CZ54=BI21)*(DC3:DC54=BI20)*(DE3:DE54="W"))+SUMPRODUCT((CZ3:CZ54=BI22)*(DC3:DC54=BI20)*(DE3:DE54="W"))+SUMPRODUCT((CZ3:CZ54=BI23)*(DC3:DC54=BI20)*(DE3:DE54="W"))</f>
        <v>0</v>
      </c>
      <c r="BK20" s="194">
        <f>SUMPRODUCT((CZ3:CZ54=BI20)*(DC3:DC54=BI21)*(DD3:DD54="D"))+SUMPRODUCT((CZ3:CZ54=BI20)*(DC3:DC54=BI22)*(DD3:DD54="D"))+SUMPRODUCT((CZ3:CZ54=BI20)*(DC3:DC54=BI23)*(DD3:DD54="D"))+SUMPRODUCT((CZ3:CZ54=BI21)*(DC3:DC54=BI20)*(DD3:DD54="D"))+SUMPRODUCT((CZ3:CZ54=BI22)*(DC3:DC54=BI20)*(DD3:DD54="D"))+SUMPRODUCT((CZ3:CZ54=BI23)*(DC3:DC54=BI20)*(DD3:DD54="D"))</f>
        <v>0</v>
      </c>
      <c r="BL20" s="194">
        <f>SUMPRODUCT((CZ3:CZ54=BI20)*(DC3:DC54=BI21)*(DD3:DD54="L"))+SUMPRODUCT((CZ3:CZ54=BI20)*(DC3:DC54=BI22)*(DD3:DD54="L"))+SUMPRODUCT((CZ3:CZ54=BI20)*(DC3:DC54=BI23)*(DD3:DD54="L"))+SUMPRODUCT((CZ3:CZ54=BI21)*(DC3:DC54=BI20)*(DE3:DE54="L"))+SUMPRODUCT((CZ3:CZ54=BI22)*(DC3:DC54=BI20)*(DE3:DE54="L"))+SUMPRODUCT((CZ3:CZ54=BI23)*(DC3:DC54=BI20)*(DE3:DE54="L"))</f>
        <v>0</v>
      </c>
      <c r="BM20" s="194">
        <f>SUMPRODUCT((CZ3:CZ54=BI20)*(DC3:DC54=BI21)*DA3:DA54)+SUMPRODUCT((CZ3:CZ54=BI20)*(DC3:DC54=BI22)*DA3:DA54)+SUMPRODUCT((CZ3:CZ54=BI20)*(DC3:DC54=BI18)*DA3:DA54)+SUMPRODUCT((CZ3:CZ54=BI20)*(DC3:DC54=BI19)*DA3:DA54)+SUMPRODUCT((CZ3:CZ54=BI21)*(DC3:DC54=BI20)*DB3:DB54)+SUMPRODUCT((CZ3:CZ54=BI22)*(DC3:DC54=BI20)*DB3:DB54)+SUMPRODUCT((CZ3:CZ54=BI18)*(DC3:DC54=BI20)*DB3:DB54)+SUMPRODUCT((CZ3:CZ54=BI19)*(DC3:DC54=BI20)*DB3:DB54)</f>
        <v>0</v>
      </c>
      <c r="BN20" s="194">
        <f>SUMPRODUCT((CZ3:CZ54=BI20)*(DC3:DC54=BI21)*DB3:DB54)+SUMPRODUCT((CZ3:CZ54=BI20)*(DC3:DC54=BI22)*DB3:DB54)+SUMPRODUCT((CZ3:CZ54=BI20)*(DC3:DC54=BI18)*DB3:DB54)+SUMPRODUCT((CZ3:CZ54=BI20)*(DC3:DC54=BI19)*DB3:DB54)+SUMPRODUCT((CZ3:CZ54=BI21)*(DC3:DC54=BI20)*DA3:DA54)+SUMPRODUCT((CZ3:CZ54=BI22)*(DC3:DC54=BI20)*DA3:DA54)+SUMPRODUCT((CZ3:CZ54=BI18)*(DC3:DC54=BI20)*DA3:DA54)+SUMPRODUCT((CZ3:CZ54=BI19)*(DC3:DC54=BI20)*DA3:DA54)</f>
        <v>0</v>
      </c>
      <c r="BO20" s="194">
        <f>BM20-BN20+1000</f>
        <v>1000</v>
      </c>
      <c r="BP20" s="194" t="str">
        <f t="shared" ref="BP20:BP21" si="36">IF(BI20&lt;&gt;"",BJ20*3+BK20*1,"")</f>
        <v/>
      </c>
      <c r="BQ20" s="194" t="str">
        <f>IF(BI20&lt;&gt;"",VLOOKUP(BI20,B4:H52,7,FALSE),"")</f>
        <v/>
      </c>
      <c r="BR20" s="194" t="str">
        <f>IF(BI20&lt;&gt;"",VLOOKUP(BI20,B4:H52,5,FALSE),"")</f>
        <v/>
      </c>
      <c r="BS20" s="194" t="str">
        <f>IF(BI20&lt;&gt;"",VLOOKUP(BI20,B4:J52,9,FALSE),"")</f>
        <v/>
      </c>
      <c r="BT20" s="194" t="str">
        <f t="shared" ref="BT20:BT21" si="37">BP20</f>
        <v/>
      </c>
      <c r="BU20" s="194" t="str">
        <f>IF(BI20&lt;&gt;"",RANK(BT20,BT18:BT22),"")</f>
        <v/>
      </c>
      <c r="BV20" s="194" t="str">
        <f>IF(BI20&lt;&gt;"",SUMPRODUCT((BT18:BT22=BT20)*(BO18:BO22&gt;BO20)),"")</f>
        <v/>
      </c>
      <c r="BW20" s="194" t="str">
        <f>IF(BI20&lt;&gt;"",SUMPRODUCT((BT18:BT22=BT20)*(BO18:BO22=BO20)*(BM18:BM22&gt;BM20)),"")</f>
        <v/>
      </c>
      <c r="BX20" s="194" t="str">
        <f>IF(BI20&lt;&gt;"",SUMPRODUCT((BT18:BT22=BT20)*(BO18:BO22=BO20)*(BM18:BM22=BM20)*(BQ18:BQ22&gt;BQ20)),"")</f>
        <v/>
      </c>
      <c r="BY20" s="194" t="str">
        <f>IF(BI20&lt;&gt;"",SUMPRODUCT((BT18:BT22=BT20)*(BO18:BO22=BO20)*(BM18:BM22=BM20)*(BQ18:BQ22=BQ20)*(BR18:BR22&gt;BR20)),"")</f>
        <v/>
      </c>
      <c r="BZ20" s="194" t="str">
        <f>IF(BI20&lt;&gt;"",SUMPRODUCT((BT18:BT22=BT20)*(BO18:BO22=BO20)*(BM18:BM22=BM20)*(BQ18:BQ22=BQ20)*(BR18:BR22=BR20)*(BS18:BS22&gt;BS20)),"")</f>
        <v/>
      </c>
      <c r="CA20" s="194" t="str">
        <f>IF(BI20&lt;&gt;"",SUM(BU20:BZ20)+2,"")</f>
        <v/>
      </c>
      <c r="CB20" s="194" t="str">
        <f>IF(BI20&lt;&gt;"",INDEX(BI20:BI22,MATCH(3,CA20:CA22,0),0),"")</f>
        <v/>
      </c>
      <c r="CW20" s="194" t="str">
        <f>IF(CB20&lt;&gt;"",CB20,IF(BH20&lt;&gt;"",BH20,IF(AN20&lt;&gt;"",AN20,N20)))</f>
        <v>Boca Juniors</v>
      </c>
      <c r="CX20" s="194">
        <v>3</v>
      </c>
      <c r="CY20" s="194">
        <v>18</v>
      </c>
      <c r="CZ20" s="194" t="str">
        <f>Matches!H21</f>
        <v>Inter Miami</v>
      </c>
      <c r="DA20" s="194">
        <f>IF(CZ2&lt;&gt;"",IF(AND(Matches!J21&lt;&gt;"",Matches!K21&lt;&gt;""),Matches!J21,0),"")</f>
        <v>0</v>
      </c>
      <c r="DB20" s="194">
        <f>IF(CZ2&lt;&gt;"",IF(AND(Matches!J21&lt;&gt;"",Matches!K21&lt;&gt;""),Matches!K21,0),"")</f>
        <v>0</v>
      </c>
      <c r="DC20" s="194" t="str">
        <f>Matches!M21</f>
        <v>Porto</v>
      </c>
      <c r="DD20" s="194" t="str">
        <f>IF(AND(Matches!J21&lt;&gt;"",Matches!K21&lt;&gt;""),IF(DA20&gt;DB20,"W",IF(DA20=DB20,"D","L")),"")</f>
        <v/>
      </c>
      <c r="DE20" s="194" t="str">
        <f t="shared" si="0"/>
        <v/>
      </c>
      <c r="DH20" s="202"/>
      <c r="DN20" s="20" t="str">
        <f>Setup!E21</f>
        <v>TUN</v>
      </c>
      <c r="DP20" s="212"/>
      <c r="DQ20" s="199"/>
      <c r="DR20" s="200" t="str">
        <f t="shared" si="15"/>
        <v>Espérance Sportive de Tunis</v>
      </c>
      <c r="DS20" s="201" t="s">
        <v>617</v>
      </c>
      <c r="DT20" s="200"/>
      <c r="DU20" s="196">
        <v>14</v>
      </c>
      <c r="DV20" s="202">
        <v>-5.5</v>
      </c>
      <c r="DW20" s="20"/>
      <c r="DX20" s="9">
        <v>14</v>
      </c>
      <c r="DY20" s="203">
        <f t="shared" si="13"/>
        <v>45826.625</v>
      </c>
      <c r="DZ20" s="204">
        <v>45826.625</v>
      </c>
      <c r="EA20" s="205">
        <f t="shared" si="14"/>
        <v>45826.625</v>
      </c>
      <c r="EB20" s="204">
        <v>45826.625</v>
      </c>
      <c r="ED20" s="196" t="str">
        <f>INDEX(Language!A1:K117,MATCH(Setup!B21,Language!B1:B117,0),MATCH(Setup!C5,Language!A1:J1,0))</f>
        <v>Espérance Sportive de Tunis</v>
      </c>
    </row>
    <row r="21" spans="1:134" x14ac:dyDescent="0.25">
      <c r="A21" s="194">
        <f>VLOOKUP(B21,CW18:CX22,2,FALSE)</f>
        <v>2</v>
      </c>
      <c r="B21" s="195" t="str">
        <f t="shared" si="32"/>
        <v>Benfica</v>
      </c>
      <c r="C21" s="194">
        <f>SUMPRODUCT((CZ3:CZ54=B21)*(DD3:DD54="W"))+SUMPRODUCT((DC3:DC54=B21)*(DE3:DE54="W"))</f>
        <v>0</v>
      </c>
      <c r="D21" s="194">
        <f>SUMPRODUCT((CZ3:CZ54=B21)*(DD3:DD54="D"))+SUMPRODUCT((DC3:DC54=B21)*(DE3:DE54="D"))</f>
        <v>0</v>
      </c>
      <c r="E21" s="194">
        <f>SUMPRODUCT((CZ3:CZ54=B21)*(DD3:DD54="L"))+SUMPRODUCT((DC3:DC54=B21)*(DE3:DE54="L"))</f>
        <v>0</v>
      </c>
      <c r="F21" s="194">
        <f>SUMIF(CZ3:CZ72,B21,DA3:DA72)+SUMIF(DC3:DC72,B21,DB3:DB72)</f>
        <v>0</v>
      </c>
      <c r="G21" s="194">
        <f>SUMIF(DC3:DC72,B21,DA3:DA72)+SUMIF(CZ3:CZ72,B21,DB3:DB72)</f>
        <v>0</v>
      </c>
      <c r="H21" s="194">
        <f t="shared" si="28"/>
        <v>1000</v>
      </c>
      <c r="I21" s="194">
        <f t="shared" si="29"/>
        <v>0</v>
      </c>
      <c r="J21" s="194">
        <f>IF(Setup!G19&lt;&gt;"",Setup!G19,22)</f>
        <v>22</v>
      </c>
      <c r="K21" s="194">
        <f>IF(COUNTIF(I18:I22,4)&lt;&gt;4,RANK(I21,I18:I22),I73)</f>
        <v>1</v>
      </c>
      <c r="M21" s="194">
        <f>SUMPRODUCT((K18:K21=K21)*(J18:J21&lt;J21))+K21</f>
        <v>3</v>
      </c>
      <c r="N21" s="195" t="str">
        <f>INDEX(B18:B22,MATCH(4,M18:M22,0),0)</f>
        <v>Bayern Munich</v>
      </c>
      <c r="O21" s="194">
        <f>INDEX(K18:K22,MATCH(N21,B18:B22,0),0)</f>
        <v>1</v>
      </c>
      <c r="P21" s="194" t="str">
        <f>IF(AND(P20&lt;&gt;"",O21=1),N21,"")</f>
        <v>Bayern Munich</v>
      </c>
      <c r="Q21" s="194" t="str">
        <f>IF(AND(Q20&lt;&gt;"",O22=2),N22,"")</f>
        <v/>
      </c>
      <c r="U21" s="194" t="str">
        <f t="shared" si="33"/>
        <v>Bayern Munich</v>
      </c>
      <c r="V21" s="194">
        <f>SUMPRODUCT((CZ3:CZ54=U21)*(DC3:DC54=U22)*(DD3:DD54="W"))+SUMPRODUCT((CZ3:CZ54=U21)*(DC3:DC54=U18)*(DD3:DD54="W"))+SUMPRODUCT((CZ3:CZ54=U21)*(DC3:DC54=U19)*(DD3:DD54="W"))+SUMPRODUCT((CZ3:CZ54=U21)*(DC3:DC54=U20)*(DD3:DD54="W"))+SUMPRODUCT((CZ3:CZ54=U22)*(DC3:DC54=U21)*(DE3:DE54="W"))+SUMPRODUCT((CZ3:CZ54=U18)*(DC3:DC54=U21)*(DE3:DE54="W"))+SUMPRODUCT((CZ3:CZ54=U19)*(DC3:DC54=U21)*(DE3:DE54="W"))+SUMPRODUCT((CZ3:CZ54=U20)*(DC3:DC54=U21)*(DE3:DE54="W"))</f>
        <v>0</v>
      </c>
      <c r="W21" s="194">
        <f>SUMPRODUCT((CZ3:CZ54=U21)*(DC3:DC54=U22)*(DD3:DD54="D"))+SUMPRODUCT((CZ3:CZ54=U21)*(DC3:DC54=U18)*(DD3:DD54="D"))+SUMPRODUCT((CZ3:CZ54=U21)*(DC3:DC54=U19)*(DD3:DD54="D"))+SUMPRODUCT((CZ3:CZ54=U21)*(DC3:DC54=U20)*(DD3:DD54="D"))+SUMPRODUCT((CZ3:CZ54=U22)*(DC3:DC54=U21)*(DD3:DD54="D"))+SUMPRODUCT((CZ3:CZ54=U18)*(DC3:DC54=U21)*(DD3:DD54="D"))+SUMPRODUCT((CZ3:CZ54=U19)*(DC3:DC54=U21)*(DD3:DD54="D"))+SUMPRODUCT((CZ3:CZ54=U20)*(DC3:DC54=U21)*(DD3:DD54="D"))</f>
        <v>0</v>
      </c>
      <c r="X21" s="194">
        <f>SUMPRODUCT((CZ3:CZ54=U21)*(DC3:DC54=U22)*(DD3:DD54="L"))+SUMPRODUCT((CZ3:CZ54=U21)*(DC3:DC54=U18)*(DD3:DD54="L"))+SUMPRODUCT((CZ3:CZ54=U21)*(DC3:DC54=U19)*(DD3:DD54="L"))+SUMPRODUCT((CZ3:CZ54=U21)*(DC3:DC54=U20)*(DD3:DD54="L"))+SUMPRODUCT((CZ3:CZ54=U22)*(DC3:DC54=U21)*(DE3:DE54="L"))+SUMPRODUCT((CZ3:CZ54=U18)*(DC3:DC54=U21)*(DE3:DE54="L"))+SUMPRODUCT((CZ3:CZ54=U19)*(DC3:DC54=U21)*(DE3:DE54="L"))+SUMPRODUCT((CZ3:CZ54=U20)*(DC3:DC54=U21)*(DE3:DE54="L"))</f>
        <v>0</v>
      </c>
      <c r="Y21" s="194">
        <f>SUMPRODUCT((CZ3:CZ54=U21)*(DC3:DC54=U22)*DA3:DA54)+SUMPRODUCT((CZ3:CZ54=U21)*(DC3:DC54=U18)*DA3:DA54)+SUMPRODUCT((CZ3:CZ54=U21)*(DC3:DC54=U19)*DA3:DA54)+SUMPRODUCT((CZ3:CZ54=U21)*(DC3:DC54=U20)*DA3:DA54)+SUMPRODUCT((CZ3:CZ54=U22)*(DC3:DC54=U21)*DB3:DB54)+SUMPRODUCT((CZ3:CZ54=U18)*(DC3:DC54=U21)*DB3:DB54)+SUMPRODUCT((CZ3:CZ54=U19)*(DC3:DC54=U21)*DB3:DB54)+SUMPRODUCT((CZ3:CZ54=U20)*(DC3:DC54=U21)*DB3:DB54)</f>
        <v>0</v>
      </c>
      <c r="Z21" s="194">
        <f>SUMPRODUCT((CZ3:CZ54=U21)*(DC3:DC54=U22)*DB3:DB54)+SUMPRODUCT((CZ3:CZ54=U21)*(DC3:DC54=U18)*DB3:DB54)+SUMPRODUCT((CZ3:CZ54=U21)*(DC3:DC54=U19)*DB3:DB54)+SUMPRODUCT((CZ3:CZ54=U21)*(DC3:DC54=U20)*DB3:DB54)+SUMPRODUCT((CZ3:CZ54=U22)*(DC3:DC54=U21)*DA3:DA54)+SUMPRODUCT((CZ3:CZ54=U18)*(DC3:DC54=U21)*DA3:DA54)+SUMPRODUCT((CZ3:CZ54=U19)*(DC3:DC54=U21)*DA3:DA54)+SUMPRODUCT((CZ3:CZ54=U20)*(DC3:DC54=U21)*DA3:DA54)</f>
        <v>0</v>
      </c>
      <c r="AA21" s="194">
        <f>Y21-Z21+1000</f>
        <v>1000</v>
      </c>
      <c r="AB21" s="194">
        <f t="shared" si="30"/>
        <v>0</v>
      </c>
      <c r="AC21" s="194">
        <f>IF(U21&lt;&gt;"",VLOOKUP(U21,B4:H52,7,FALSE),"")</f>
        <v>1000</v>
      </c>
      <c r="AD21" s="194">
        <f>IF(U21&lt;&gt;"",VLOOKUP(U21,B4:H52,5,FALSE),"")</f>
        <v>0</v>
      </c>
      <c r="AE21" s="194">
        <f>IF(U21&lt;&gt;"",VLOOKUP(U21,B4:J52,9,FALSE),"")</f>
        <v>30</v>
      </c>
      <c r="AF21" s="194">
        <f t="shared" si="31"/>
        <v>0</v>
      </c>
      <c r="AG21" s="194">
        <f>IF(U21&lt;&gt;"",RANK(AF21,AF18:AF22),"")</f>
        <v>1</v>
      </c>
      <c r="AH21" s="194">
        <f>IF(U21&lt;&gt;"",SUMPRODUCT((AF18:AF22=AF21)*(AA18:AA22&gt;AA21)),"")</f>
        <v>0</v>
      </c>
      <c r="AI21" s="194">
        <f>IF(U21&lt;&gt;"",SUMPRODUCT((AF18:AF22=AF21)*(AA18:AA22=AA21)*(Y18:Y22&gt;Y21)),"")</f>
        <v>0</v>
      </c>
      <c r="AJ21" s="194">
        <f>IF(U21&lt;&gt;"",SUMPRODUCT((AF18:AF22=AF21)*(AA18:AA22=AA21)*(Y18:Y22=Y21)*(AC18:AC22&gt;AC21)),"")</f>
        <v>0</v>
      </c>
      <c r="AK21" s="194">
        <f>IF(U21&lt;&gt;"",SUMPRODUCT((AF18:AF22=AF21)*(AA18:AA22=AA21)*(Y18:Y22=Y21)*(AC18:AC22=AC21)*(AD18:AD22&gt;AD21)),"")</f>
        <v>0</v>
      </c>
      <c r="AL21" s="194">
        <f>IF(U21&lt;&gt;"",SUMPRODUCT((AF18:AF22=AF21)*(AA18:AA22=AA21)*(Y18:Y22=Y21)*(AC18:AC22=AC21)*(AD18:AD22=AD21)*(AE18:AE22&gt;AE21)),"")</f>
        <v>0</v>
      </c>
      <c r="AM21" s="194">
        <f>IF(U21&lt;&gt;"",IF(AM73&lt;&gt;"",IF(T69=3,AM73,AM73+T69),SUM(AG21:AL21)),"")</f>
        <v>1</v>
      </c>
      <c r="AN21" s="194" t="str">
        <f>IF(U21&lt;&gt;"",INDEX(U18:U22,MATCH(4,AM18:AM22,0),0),"")</f>
        <v>Auckland City</v>
      </c>
      <c r="AO21" s="194" t="str">
        <f>IF(Q20&lt;&gt;"",Q20,"")</f>
        <v/>
      </c>
      <c r="AP21" s="194" t="str">
        <f>IF(AO21&lt;&gt;"",SUMPRODUCT((CZ3:CZ54=AO21)*(DC3:DC54=AO22)*(DD3:DD54="W"))+SUMPRODUCT((CZ3:CZ54=AO21)*(DC3:DC54=AO19)*(DD3:DD54="W"))+SUMPRODUCT((CZ3:CZ54=AO21)*(DC3:DC54=AO20)*(DD3:DD54="W"))+SUMPRODUCT((CZ3:CZ54=AO22)*(DC3:DC54=AO21)*(DE3:DE54="W"))+SUMPRODUCT((CZ3:CZ54=AO19)*(DC3:DC54=AO21)*(DE3:DE54="W"))+SUMPRODUCT((CZ3:CZ54=AO20)*(DC3:DC54=AO21)*(DE3:DE54="W")),"")</f>
        <v/>
      </c>
      <c r="AQ21" s="194" t="str">
        <f>IF(AO21&lt;&gt;"",SUMPRODUCT((CZ3:CZ54=AO21)*(DC3:DC54=AO22)*(DD3:DD54="D"))+SUMPRODUCT((CZ3:CZ54=AO21)*(DC3:DC54=AO19)*(DD3:DD54="D"))+SUMPRODUCT((CZ3:CZ54=AO21)*(DC3:DC54=AO20)*(DD3:DD54="D"))+SUMPRODUCT((CZ3:CZ54=AO22)*(DC3:DC54=AO21)*(DD3:DD54="D"))+SUMPRODUCT((CZ3:CZ54=AO19)*(DC3:DC54=AO21)*(DD3:DD54="D"))+SUMPRODUCT((CZ3:CZ54=AO20)*(DC3:DC54=AO21)*(DD3:DD54="D")),"")</f>
        <v/>
      </c>
      <c r="AR21" s="194" t="str">
        <f>IF(AO21&lt;&gt;"",SUMPRODUCT((CZ3:CZ54=AO21)*(DC3:DC54=AO22)*(DD3:DD54="L"))+SUMPRODUCT((CZ3:CZ54=AO21)*(DC3:DC54=AO19)*(DD3:DD54="L"))+SUMPRODUCT((CZ3:CZ54=AO21)*(DC3:DC54=AO20)*(DD3:DD54="L"))+SUMPRODUCT((CZ3:CZ54=AO22)*(DC3:DC54=AO21)*(DE3:DE54="L"))+SUMPRODUCT((CZ3:CZ54=AO19)*(DC3:DC54=AO21)*(DE3:DE54="L"))+SUMPRODUCT((CZ3:CZ54=AO20)*(DC3:DC54=AO21)*(DE3:DE54="L")),"")</f>
        <v/>
      </c>
      <c r="AS21" s="194">
        <f>SUMPRODUCT((CZ3:CZ54=AO21)*(DC3:DC54=AO22)*DA3:DA54)+SUMPRODUCT((CZ3:CZ54=AO21)*(DC3:DC54=AO18)*DA3:DA54)+SUMPRODUCT((CZ3:CZ54=AO21)*(DC3:DC54=AO19)*DA3:DA54)+SUMPRODUCT((CZ3:CZ54=AO21)*(DC3:DC54=AO20)*DA3:DA54)+SUMPRODUCT((CZ3:CZ54=AO22)*(DC3:DC54=AO21)*DB3:DB54)+SUMPRODUCT((CZ3:CZ54=AO18)*(DC3:DC54=AO21)*DB3:DB54)+SUMPRODUCT((CZ3:CZ54=AO19)*(DC3:DC54=AO21)*DB3:DB54)+SUMPRODUCT((CZ3:CZ54=AO20)*(DC3:DC54=AO21)*DB3:DB54)</f>
        <v>0</v>
      </c>
      <c r="AT21" s="194">
        <f>SUMPRODUCT((CZ3:CZ54=AO21)*(DC3:DC54=AO22)*DB3:DB54)+SUMPRODUCT((CZ3:CZ54=AO21)*(DC3:DC54=AO18)*DB3:DB54)+SUMPRODUCT((CZ3:CZ54=AO21)*(DC3:DC54=AO19)*DB3:DB54)+SUMPRODUCT((CZ3:CZ54=AO21)*(DC3:DC54=AO20)*DB3:DB54)+SUMPRODUCT((CZ3:CZ54=AO22)*(DC3:DC54=AO21)*DA3:DA54)+SUMPRODUCT((CZ3:CZ54=AO18)*(DC3:DC54=AO21)*DA3:DA54)+SUMPRODUCT((CZ3:CZ54=AO19)*(DC3:DC54=AO21)*DA3:DA54)+SUMPRODUCT((CZ3:CZ54=AO20)*(DC3:DC54=AO21)*DA3:DA54)</f>
        <v>0</v>
      </c>
      <c r="AU21" s="194">
        <f>AS21-AT21+1000</f>
        <v>1000</v>
      </c>
      <c r="AV21" s="194" t="str">
        <f t="shared" si="34"/>
        <v/>
      </c>
      <c r="AW21" s="194" t="str">
        <f>IF(AO21&lt;&gt;"",VLOOKUP(AO21,B4:H52,7,FALSE),"")</f>
        <v/>
      </c>
      <c r="AX21" s="194" t="str">
        <f>IF(AO21&lt;&gt;"",VLOOKUP(AO21,B4:H52,5,FALSE),"")</f>
        <v/>
      </c>
      <c r="AY21" s="194" t="str">
        <f>IF(AO21&lt;&gt;"",VLOOKUP(AO21,B4:J52,9,FALSE),"")</f>
        <v/>
      </c>
      <c r="AZ21" s="194" t="str">
        <f t="shared" si="35"/>
        <v/>
      </c>
      <c r="BA21" s="194" t="str">
        <f>IF(AO21&lt;&gt;"",RANK(AZ21,AZ18:AZ22),"")</f>
        <v/>
      </c>
      <c r="BB21" s="194" t="str">
        <f>IF(AO21&lt;&gt;"",SUMPRODUCT((AZ18:AZ22=AZ21)*(AU18:AU22&gt;AU21)),"")</f>
        <v/>
      </c>
      <c r="BC21" s="194" t="str">
        <f>IF(AO21&lt;&gt;"",SUMPRODUCT((AZ18:AZ22=AZ21)*(AU18:AU22=AU21)*(AS18:AS22&gt;AS21)),"")</f>
        <v/>
      </c>
      <c r="BD21" s="194" t="str">
        <f>IF(AO21&lt;&gt;"",SUMPRODUCT((AZ18:AZ22=AZ21)*(AU18:AU22=AU21)*(AS18:AS22=AS21)*(AW18:AW22&gt;AW21)),"")</f>
        <v/>
      </c>
      <c r="BE21" s="194" t="str">
        <f>IF(AO21&lt;&gt;"",SUMPRODUCT((AZ18:AZ22=AZ21)*(AU18:AU22=AU21)*(AS18:AS22=AS21)*(AW18:AW22=AW21)*(AX18:AX22&gt;AX21)),"")</f>
        <v/>
      </c>
      <c r="BF21" s="194" t="str">
        <f>IF(AO21&lt;&gt;"",SUMPRODUCT((AZ18:AZ22=AZ21)*(AU18:AU22=AU21)*(AS18:AS22=AS21)*(AW18:AW22=AW21)*(AX18:AX22=AX21)*(AY18:AY22&gt;AY21)),"")</f>
        <v/>
      </c>
      <c r="BG21" s="194" t="str">
        <f>IF(AO21&lt;&gt;"",IF(BG73&lt;&gt;"",IF(AN69=3,BG73,BG73+AN69),SUM(BA21:BF21)+1),"")</f>
        <v/>
      </c>
      <c r="BH21" s="194" t="str">
        <f>IF(AO21&lt;&gt;"",INDEX(AO19:AO22,MATCH(4,BG19:BG22,0),0),"")</f>
        <v/>
      </c>
      <c r="BI21" s="194" t="str">
        <f>IF(R19&lt;&gt;"",R19,"")</f>
        <v/>
      </c>
      <c r="BJ21" s="194">
        <f>SUMPRODUCT((CZ3:CZ54=BI21)*(DC3:DC54=BI22)*(DD3:DD54="W"))+SUMPRODUCT((CZ3:CZ54=BI21)*(DC3:DC54=BI23)*(DD3:DD54="W"))+SUMPRODUCT((CZ3:CZ54=BI21)*(DC3:DC54=BI20)*(DD3:DD54="W"))+SUMPRODUCT((CZ3:CZ54=BI22)*(DC3:DC54=BI21)*(DE3:DE54="W"))+SUMPRODUCT((CZ3:CZ54=BI23)*(DC3:DC54=BI21)*(DE3:DE54="W"))+SUMPRODUCT((CZ3:CZ54=BI20)*(DC3:DC54=BI21)*(DE3:DE54="W"))</f>
        <v>0</v>
      </c>
      <c r="BK21" s="194">
        <f>SUMPRODUCT((CZ3:CZ54=BI21)*(DC3:DC54=BI22)*(DD3:DD54="D"))+SUMPRODUCT((CZ3:CZ54=BI21)*(DC3:DC54=BI23)*(DD3:DD54="D"))+SUMPRODUCT((CZ3:CZ54=BI21)*(DC3:DC54=BI20)*(DD3:DD54="D"))+SUMPRODUCT((CZ3:CZ54=BI22)*(DC3:DC54=BI21)*(DD3:DD54="D"))+SUMPRODUCT((CZ3:CZ54=BI23)*(DC3:DC54=BI21)*(DD3:DD54="D"))+SUMPRODUCT((CZ3:CZ54=BI20)*(DC3:DC54=BI21)*(DD3:DD54="D"))</f>
        <v>0</v>
      </c>
      <c r="BL21" s="194">
        <f>SUMPRODUCT((CZ3:CZ54=BI21)*(DC3:DC54=BI22)*(DD3:DD54="L"))+SUMPRODUCT((CZ3:CZ54=BI21)*(DC3:DC54=BI23)*(DD3:DD54="L"))+SUMPRODUCT((CZ3:CZ54=BI21)*(DC3:DC54=BI20)*(DD3:DD54="L"))+SUMPRODUCT((CZ3:CZ54=BI22)*(DC3:DC54=BI21)*(DE3:DE54="L"))+SUMPRODUCT((CZ3:CZ54=BI23)*(DC3:DC54=BI21)*(DE3:DE54="L"))+SUMPRODUCT((CZ3:CZ54=BI20)*(DC3:DC54=BI21)*(DE3:DE54="L"))</f>
        <v>0</v>
      </c>
      <c r="BM21" s="194">
        <f>SUMPRODUCT((CZ3:CZ54=BI21)*(DC3:DC54=BI22)*DA3:DA54)+SUMPRODUCT((CZ3:CZ54=BI21)*(DC3:DC54=BI18)*DA3:DA54)+SUMPRODUCT((CZ3:CZ54=BI21)*(DC3:DC54=BI19)*DA3:DA54)+SUMPRODUCT((CZ3:CZ54=BI21)*(DC3:DC54=BI20)*DA3:DA54)+SUMPRODUCT((CZ3:CZ54=BI22)*(DC3:DC54=BI21)*DB3:DB54)+SUMPRODUCT((CZ3:CZ54=BI18)*(DC3:DC54=BI21)*DB3:DB54)+SUMPRODUCT((CZ3:CZ54=BI19)*(DC3:DC54=BI21)*DB3:DB54)+SUMPRODUCT((CZ3:CZ54=BI20)*(DC3:DC54=BI21)*DB3:DB54)</f>
        <v>0</v>
      </c>
      <c r="BN21" s="194">
        <f>SUMPRODUCT((CZ3:CZ54=BI21)*(DC3:DC54=BI22)*DB3:DB54)+SUMPRODUCT((CZ3:CZ54=BI21)*(DC3:DC54=BI18)*DB3:DB54)+SUMPRODUCT((CZ3:CZ54=BI21)*(DC3:DC54=BI19)*DB3:DB54)+SUMPRODUCT((CZ3:CZ54=BI21)*(DC3:DC54=BI20)*DB3:DB54)+SUMPRODUCT((CZ3:CZ54=BI22)*(DC3:DC54=BI21)*DA3:DA54)+SUMPRODUCT((CZ3:CZ54=BI18)*(DC3:DC54=BI21)*DA3:DA54)+SUMPRODUCT((CZ3:CZ54=BI19)*(DC3:DC54=BI21)*DA3:DA54)+SUMPRODUCT((CZ3:CZ54=BI20)*(DC3:DC54=BI21)*DA3:DA54)</f>
        <v>0</v>
      </c>
      <c r="BO21" s="194">
        <f>BM21-BN21+1000</f>
        <v>1000</v>
      </c>
      <c r="BP21" s="194" t="str">
        <f t="shared" si="36"/>
        <v/>
      </c>
      <c r="BQ21" s="194" t="str">
        <f>IF(BI21&lt;&gt;"",VLOOKUP(BI21,B4:H52,7,FALSE),"")</f>
        <v/>
      </c>
      <c r="BR21" s="194" t="str">
        <f>IF(BI21&lt;&gt;"",VLOOKUP(BI21,B4:H52,5,FALSE),"")</f>
        <v/>
      </c>
      <c r="BS21" s="194" t="str">
        <f>IF(BI21&lt;&gt;"",VLOOKUP(BI21,B4:J52,9,FALSE),"")</f>
        <v/>
      </c>
      <c r="BT21" s="194" t="str">
        <f t="shared" si="37"/>
        <v/>
      </c>
      <c r="BU21" s="194" t="str">
        <f>IF(BI21&lt;&gt;"",RANK(BT21,BT18:BT22),"")</f>
        <v/>
      </c>
      <c r="BV21" s="194" t="str">
        <f>IF(BI21&lt;&gt;"",SUMPRODUCT((BT18:BT22=BT21)*(BO18:BO22&gt;BO21)),"")</f>
        <v/>
      </c>
      <c r="BW21" s="194" t="str">
        <f>IF(BI21&lt;&gt;"",SUMPRODUCT((BT18:BT22=BT21)*(BO18:BO22=BO21)*(BM18:BM22&gt;BM21)),"")</f>
        <v/>
      </c>
      <c r="BX21" s="194" t="str">
        <f>IF(BI21&lt;&gt;"",SUMPRODUCT((BT18:BT22=BT21)*(BO18:BO22=BO21)*(BM18:BM22=BM21)*(BQ18:BQ22&gt;BQ21)),"")</f>
        <v/>
      </c>
      <c r="BY21" s="194" t="str">
        <f>IF(BI21&lt;&gt;"",SUMPRODUCT((BT18:BT22=BT21)*(BO18:BO22=BO21)*(BM18:BM22=BM21)*(BQ18:BQ22=BQ21)*(BR18:BR22&gt;BR21)),"")</f>
        <v/>
      </c>
      <c r="BZ21" s="194" t="str">
        <f>IF(BI21&lt;&gt;"",SUMPRODUCT((BT18:BT22=BT21)*(BO18:BO22=BO21)*(BM18:BM22=BM21)*(BQ18:BQ22=BQ21)*(BR18:BR22=BR21)*(BS18:BS22&gt;BS21)),"")</f>
        <v/>
      </c>
      <c r="CA21" s="194" t="str">
        <f>IF(BI21&lt;&gt;"",SUM(BU21:BZ21)+2,"")</f>
        <v/>
      </c>
      <c r="CB21" s="194" t="str">
        <f>IF(BI21&lt;&gt;"",INDEX(BI20:BI22,MATCH(4,CA20:CA22,0),0),"")</f>
        <v/>
      </c>
      <c r="CC21" s="194" t="str">
        <f>IF(S18&lt;&gt;"",S18,"")</f>
        <v/>
      </c>
      <c r="CD21" s="194">
        <f>SUMPRODUCT((CZ3:CZ54=CC21)*(DC3:DC54=CC22)*(DD3:DD54="W"))+SUMPRODUCT((CZ3:CZ54=CC21)*(DC3:DC54=CC23)*(DD3:DD54="W"))+SUMPRODUCT((CZ3:CZ54=CC21)*(DC3:DC54=CC24)*(DD3:DD54="W"))+SUMPRODUCT((CZ3:CZ54=CC22)*(DC3:DC54=CC21)*(DE3:DE54="W"))+SUMPRODUCT((CZ3:CZ54=CC23)*(DC3:DC54=CC21)*(DE3:DE54="W"))+SUMPRODUCT((CZ3:CZ54=CC24)*(DC3:DC54=CC21)*(DE3:DE54="W"))</f>
        <v>0</v>
      </c>
      <c r="CE21" s="194">
        <f>SUMPRODUCT((CZ3:CZ54=CC21)*(DC3:DC54=CC22)*(DD3:DD54="D"))+SUMPRODUCT((CZ3:CZ54=CC21)*(DC3:DC54=CC23)*(DD3:DD54="D"))+SUMPRODUCT((CZ3:CZ54=CC21)*(DC3:DC54=CC24)*(DD3:DD54="D"))+SUMPRODUCT((CZ3:CZ54=CC22)*(DC3:DC54=CC21)*(DD3:DD54="D"))+SUMPRODUCT((CZ3:CZ54=CC23)*(DC3:DC54=CC21)*(DD3:DD54="D"))+SUMPRODUCT((CZ3:CZ54=CC24)*(DC3:DC54=CC21)*(DD3:DD54="D"))</f>
        <v>0</v>
      </c>
      <c r="CF21" s="194">
        <f>SUMPRODUCT((CZ3:CZ54=CC21)*(DC3:DC54=CC22)*(DD3:DD54="L"))+SUMPRODUCT((CZ3:CZ54=CC21)*(DC3:DC54=CC23)*(DD3:DD54="L"))+SUMPRODUCT((CZ3:CZ54=CC21)*(DC3:DC54=CC24)*(DD3:DD54="L"))+SUMPRODUCT((CZ3:CZ54=CC22)*(DC3:DC54=CC21)*(DE3:DE54="L"))+SUMPRODUCT((CZ3:CZ54=CC23)*(DC3:DC54=CC21)*(DE3:DE54="L"))+SUMPRODUCT((CZ3:CZ54=CC24)*(DC3:DC54=CC21)*(DE3:DE54="L"))</f>
        <v>0</v>
      </c>
      <c r="CG21" s="194">
        <f>SUMPRODUCT((CZ3:CZ54=CC21)*(DC3:DC54=CC22)*DA3:DA54)+SUMPRODUCT((CZ3:CZ54=CC21)*(DC3:DC54=CC18)*DA3:DA54)+SUMPRODUCT((CZ3:CZ54=CC21)*(DC3:DC54=CC19)*DA3:DA54)+SUMPRODUCT((CZ3:CZ54=CC21)*(DC3:DC54=CC20)*DA3:DA54)+SUMPRODUCT((CZ3:CZ54=CC22)*(DC3:DC54=CC21)*DB3:DB54)+SUMPRODUCT((CZ3:CZ54=CC18)*(DC3:DC54=CC21)*DB3:DB54)+SUMPRODUCT((CZ3:CZ54=CC19)*(DC3:DC54=CC21)*DB3:DB54)+SUMPRODUCT((CZ3:CZ54=CC20)*(DC3:DC54=CC21)*DB3:DB54)</f>
        <v>0</v>
      </c>
      <c r="CH21" s="194">
        <f>SUMPRODUCT((CZ3:CZ54=CC21)*(DC3:DC54=CC22)*DB3:DB54)+SUMPRODUCT((CZ3:CZ54=CC21)*(DC3:DC54=CC18)*DB3:DB54)+SUMPRODUCT((CZ3:CZ54=CC21)*(DC3:DC54=CC19)*DB3:DB54)+SUMPRODUCT((CZ3:CZ54=CC21)*(DC3:DC54=CC20)*DB3:DB54)+SUMPRODUCT((CZ3:CZ54=CC22)*(DC3:DC54=CC21)*DA3:DA54)+SUMPRODUCT((CZ3:CZ54=CC18)*(DC3:DC54=CC21)*DA3:DA54)+SUMPRODUCT((CZ3:CZ54=CC19)*(DC3:DC54=CC21)*DA3:DA54)+SUMPRODUCT((CZ3:CZ54=CC20)*(DC3:DC54=CC21)*DA3:DA54)</f>
        <v>0</v>
      </c>
      <c r="CI21" s="194">
        <f>CG21-CH21+1000</f>
        <v>1000</v>
      </c>
      <c r="CJ21" s="194" t="str">
        <f t="shared" ref="CJ21" si="38">IF(CC21&lt;&gt;"",CD21*3+CE21*1,"")</f>
        <v/>
      </c>
      <c r="CK21" s="194" t="str">
        <f>IF(CC21&lt;&gt;"",VLOOKUP(CC21,B4:H52,7,FALSE),"")</f>
        <v/>
      </c>
      <c r="CL21" s="194" t="str">
        <f>IF(CC21&lt;&gt;"",VLOOKUP(CC21,B4:H52,5,FALSE),"")</f>
        <v/>
      </c>
      <c r="CM21" s="194" t="str">
        <f>IF(CC21&lt;&gt;"",VLOOKUP(CC21,B4:J52,9,FALSE),"")</f>
        <v/>
      </c>
      <c r="CN21" s="194" t="str">
        <f t="shared" ref="CN21" si="39">CJ21</f>
        <v/>
      </c>
      <c r="CO21" s="194" t="str">
        <f>IF(CC21&lt;&gt;"",RANK(CN21,CN18:CN22),"")</f>
        <v/>
      </c>
      <c r="CP21" s="194" t="str">
        <f>IF(CC21&lt;&gt;"",SUMPRODUCT((CN18:CN22=CN21)*(CI18:CI22&gt;CI21)),"")</f>
        <v/>
      </c>
      <c r="CQ21" s="194" t="str">
        <f>IF(CC21&lt;&gt;"",SUMPRODUCT((CN18:CN22=CN21)*(CI18:CI22=CI21)*(CG18:CG22&gt;CG21)),"")</f>
        <v/>
      </c>
      <c r="CR21" s="194" t="str">
        <f>IF(CC21&lt;&gt;"",SUMPRODUCT((CN18:CN22=CN21)*(CI18:CI22=CI21)*(CG18:CG22=CG21)*(CK18:CK22&gt;CK21)),"")</f>
        <v/>
      </c>
      <c r="CS21" s="194" t="str">
        <f>IF(CC21&lt;&gt;"",SUMPRODUCT((CN18:CN22=CN21)*(CI18:CI22=CI21)*(CG18:CG22=CG21)*(CK18:CK22=CK21)*(CL18:CL22&gt;CL21)),"")</f>
        <v/>
      </c>
      <c r="CT21" s="194" t="str">
        <f>IF(CC21&lt;&gt;"",SUMPRODUCT((CN18:CN22=CN21)*(CI18:CI22=CI21)*(CG18:CG22=CG21)*(CK18:CK22=CK21)*(CL18:CL22=CL21)*(CM18:CM22&gt;CM21)),"")</f>
        <v/>
      </c>
      <c r="CU21" s="194" t="str">
        <f>IF(CC21&lt;&gt;"",SUM(CO21:CT21)+3,"")</f>
        <v/>
      </c>
      <c r="CV21" s="194" t="str">
        <f>IF(CC21&lt;&gt;"",IF(CU21=4,CC21,CC22),"")</f>
        <v/>
      </c>
      <c r="CW21" s="194" t="str">
        <f>IF(CV21&lt;&gt;"",CV21,IF(CB21&lt;&gt;"",CB21,IF(BH21&lt;&gt;"",BH21,IF(AN21&lt;&gt;"",AN21,N21))))</f>
        <v>Auckland City</v>
      </c>
      <c r="CX21" s="194">
        <v>4</v>
      </c>
      <c r="CY21" s="194">
        <v>19</v>
      </c>
      <c r="CZ21" s="194" t="str">
        <f>Matches!H22</f>
        <v>Seattle Sounders</v>
      </c>
      <c r="DA21" s="194">
        <f>IF(CZ2&lt;&gt;"",IF(AND(Matches!J22&lt;&gt;"",Matches!K22&lt;&gt;""),Matches!J22,0),"")</f>
        <v>0</v>
      </c>
      <c r="DB21" s="194">
        <f>IF(CZ2&lt;&gt;"",IF(AND(Matches!J22&lt;&gt;"",Matches!K22&lt;&gt;""),Matches!K22,0),"")</f>
        <v>0</v>
      </c>
      <c r="DC21" s="194" t="str">
        <f>Matches!M22</f>
        <v>Atletico Madrid</v>
      </c>
      <c r="DD21" s="194" t="str">
        <f>IF(AND(Matches!J22&lt;&gt;"",Matches!K22&lt;&gt;""),IF(DA21&gt;DB21,"W",IF(DA21=DB21,"D","L")),"")</f>
        <v/>
      </c>
      <c r="DE21" s="194" t="str">
        <f t="shared" si="0"/>
        <v/>
      </c>
      <c r="DH21" s="202"/>
      <c r="DN21" s="20" t="str">
        <f>Setup!E22</f>
        <v>ENG</v>
      </c>
      <c r="DP21" s="212"/>
      <c r="DQ21" s="199"/>
      <c r="DR21" s="200" t="str">
        <f t="shared" si="15"/>
        <v>Chelsea</v>
      </c>
      <c r="DS21" s="201" t="s">
        <v>618</v>
      </c>
      <c r="DT21" s="200"/>
      <c r="DU21" s="196">
        <v>15</v>
      </c>
      <c r="DV21" s="202">
        <v>-5</v>
      </c>
      <c r="DW21" s="20"/>
      <c r="DX21" s="9">
        <v>15</v>
      </c>
      <c r="DY21" s="203">
        <f t="shared" si="13"/>
        <v>45826.75</v>
      </c>
      <c r="DZ21" s="204">
        <v>45826.75</v>
      </c>
      <c r="EA21" s="205">
        <f t="shared" si="14"/>
        <v>45826.75</v>
      </c>
      <c r="EB21" s="204">
        <v>45826.75</v>
      </c>
      <c r="ED21" s="196" t="str">
        <f>INDEX(Language!A1:K117,MATCH(Setup!B22,Language!B1:B117,0),MATCH(Setup!C5,Language!A1:J1,0))</f>
        <v>Chelsea</v>
      </c>
    </row>
    <row r="22" spans="1:134" x14ac:dyDescent="0.25">
      <c r="CY22" s="194">
        <v>20</v>
      </c>
      <c r="CZ22" s="194" t="str">
        <f>Matches!H23</f>
        <v>Paris Saint-Germain</v>
      </c>
      <c r="DA22" s="194">
        <f>IF(CZ2&lt;&gt;"",IF(AND(Matches!J23&lt;&gt;"",Matches!K23&lt;&gt;""),Matches!J23,0),"")</f>
        <v>0</v>
      </c>
      <c r="DB22" s="194">
        <f>IF(CZ2&lt;&gt;"",IF(AND(Matches!J23&lt;&gt;"",Matches!K23&lt;&gt;""),Matches!K23,0),"")</f>
        <v>0</v>
      </c>
      <c r="DC22" s="194" t="str">
        <f>Matches!M23</f>
        <v>Botafogo</v>
      </c>
      <c r="DD22" s="194" t="str">
        <f>IF(AND(Matches!J23&lt;&gt;"",Matches!K23&lt;&gt;""),IF(DA22&gt;DB22,"W",IF(DA22=DB22,"D","L")),"")</f>
        <v/>
      </c>
      <c r="DE22" s="194" t="str">
        <f t="shared" si="0"/>
        <v/>
      </c>
      <c r="DH22" s="202"/>
      <c r="DN22" s="20" t="str">
        <f>Setup!E23</f>
        <v>USA</v>
      </c>
      <c r="DP22" s="212"/>
      <c r="DQ22" s="199"/>
      <c r="DR22" s="200" t="str">
        <f t="shared" si="15"/>
        <v>Los Angeles</v>
      </c>
      <c r="DS22" s="201" t="s">
        <v>619</v>
      </c>
      <c r="DT22" s="200"/>
      <c r="DU22" s="196">
        <v>16</v>
      </c>
      <c r="DV22" s="202">
        <v>-4.5</v>
      </c>
      <c r="DW22" s="20"/>
      <c r="DX22" s="9">
        <v>16</v>
      </c>
      <c r="DY22" s="203">
        <f t="shared" si="13"/>
        <v>45826.875</v>
      </c>
      <c r="DZ22" s="204">
        <v>45826.875</v>
      </c>
      <c r="EA22" s="205">
        <f t="shared" si="14"/>
        <v>45826.875</v>
      </c>
      <c r="EB22" s="204">
        <v>45826.875</v>
      </c>
      <c r="ED22" s="196" t="str">
        <f>INDEX(Language!A1:K117,MATCH(Setup!B23,Language!B1:B117,0),MATCH(Setup!C5,Language!A1:J1,0))</f>
        <v>Los Angeles</v>
      </c>
    </row>
    <row r="23" spans="1:134" ht="16.5" x14ac:dyDescent="0.25">
      <c r="CY23" s="194">
        <v>21</v>
      </c>
      <c r="CZ23" s="194" t="str">
        <f>Matches!H24</f>
        <v>Benfica</v>
      </c>
      <c r="DA23" s="194">
        <f>IF(CZ2&lt;&gt;"",IF(AND(Matches!J24&lt;&gt;"",Matches!K24&lt;&gt;""),Matches!J24,0),"")</f>
        <v>0</v>
      </c>
      <c r="DB23" s="194">
        <f>IF(CZ2&lt;&gt;"",IF(AND(Matches!J24&lt;&gt;"",Matches!K24&lt;&gt;""),Matches!K24,0),"")</f>
        <v>0</v>
      </c>
      <c r="DC23" s="194" t="str">
        <f>Matches!M24</f>
        <v>Auckland City</v>
      </c>
      <c r="DD23" s="194" t="str">
        <f>IF(AND(Matches!J24&lt;&gt;"",Matches!K24&lt;&gt;""),IF(DA23&gt;DB23,"W",IF(DA23=DB23,"D","L")),"")</f>
        <v/>
      </c>
      <c r="DE23" s="194" t="str">
        <f t="shared" si="0"/>
        <v/>
      </c>
      <c r="DH23" s="202"/>
      <c r="DN23" s="20" t="str">
        <f>Setup!E24</f>
        <v>ARG</v>
      </c>
      <c r="DP23" s="212" t="s">
        <v>89</v>
      </c>
      <c r="DQ23" s="199"/>
      <c r="DR23" s="200" t="str">
        <f t="shared" si="15"/>
        <v>River Plate</v>
      </c>
      <c r="DS23" s="201" t="s">
        <v>620</v>
      </c>
      <c r="DT23" s="200"/>
      <c r="DU23" s="196">
        <v>17</v>
      </c>
      <c r="DV23" s="202">
        <v>-4</v>
      </c>
      <c r="DW23" s="20"/>
      <c r="DX23" s="9">
        <v>17</v>
      </c>
      <c r="DY23" s="203">
        <f t="shared" si="13"/>
        <v>45827.5</v>
      </c>
      <c r="DZ23" s="204">
        <v>45827.5</v>
      </c>
      <c r="EA23" s="205">
        <f t="shared" si="14"/>
        <v>45827.5</v>
      </c>
      <c r="EB23" s="204">
        <v>45827.5</v>
      </c>
      <c r="ED23" s="196" t="str">
        <f>INDEX(Language!A1:K117,MATCH(Setup!B24,Language!B1:B117,0),MATCH(Setup!C5,Language!A1:J1,0))</f>
        <v>River Plate</v>
      </c>
    </row>
    <row r="24" spans="1:134" x14ac:dyDescent="0.25">
      <c r="CY24" s="194">
        <v>22</v>
      </c>
      <c r="CZ24" s="194" t="str">
        <f>Matches!H25</f>
        <v>Flamengo</v>
      </c>
      <c r="DA24" s="194">
        <f>IF(CZ2&lt;&gt;"",IF(AND(Matches!J25&lt;&gt;"",Matches!K25&lt;&gt;""),Matches!J25,0),"")</f>
        <v>0</v>
      </c>
      <c r="DB24" s="194">
        <f>IF(CZ2&lt;&gt;"",IF(AND(Matches!J25&lt;&gt;"",Matches!K25&lt;&gt;""),Matches!K25,0),"")</f>
        <v>0</v>
      </c>
      <c r="DC24" s="194" t="str">
        <f>Matches!M25</f>
        <v>Chelsea</v>
      </c>
      <c r="DD24" s="194" t="str">
        <f>IF(AND(Matches!J25&lt;&gt;"",Matches!K25&lt;&gt;""),IF(DA24&gt;DB24,"W",IF(DA24=DB24,"D","L")),"")</f>
        <v/>
      </c>
      <c r="DE24" s="194" t="str">
        <f t="shared" si="0"/>
        <v/>
      </c>
      <c r="DH24" s="202"/>
      <c r="DN24" s="20" t="str">
        <f>Setup!E25</f>
        <v>JPN</v>
      </c>
      <c r="DP24" s="212"/>
      <c r="DQ24" s="199"/>
      <c r="DR24" s="200" t="str">
        <f t="shared" si="15"/>
        <v>Urawa Red Diamonds</v>
      </c>
      <c r="DS24" s="201" t="s">
        <v>621</v>
      </c>
      <c r="DT24" s="200"/>
      <c r="DU24" s="196">
        <v>18</v>
      </c>
      <c r="DV24" s="202">
        <v>-3.5</v>
      </c>
      <c r="DW24" s="20"/>
      <c r="DX24" s="9">
        <v>18</v>
      </c>
      <c r="DY24" s="203">
        <f t="shared" si="13"/>
        <v>45827.625</v>
      </c>
      <c r="DZ24" s="204">
        <v>45827.625</v>
      </c>
      <c r="EA24" s="205">
        <f t="shared" si="14"/>
        <v>45827.625</v>
      </c>
      <c r="EB24" s="204">
        <v>45827.625</v>
      </c>
      <c r="ED24" s="196" t="str">
        <f>INDEX(Language!A1:K117,MATCH(Setup!B25,Language!B1:B117,0),MATCH(Setup!C5,Language!A1:J1,0))</f>
        <v>Urawa Red Diamonds</v>
      </c>
    </row>
    <row r="25" spans="1:134" x14ac:dyDescent="0.25">
      <c r="A25" s="194">
        <f>VLOOKUP(B25,CW25:CX29,2,FALSE)</f>
        <v>1</v>
      </c>
      <c r="B25" s="195" t="str">
        <f>ED19</f>
        <v>Flamengo</v>
      </c>
      <c r="C25" s="194">
        <f>SUMPRODUCT((CZ3:CZ54=B25)*(DD3:DD54="W"))+SUMPRODUCT((DC3:DC54=B25)*(DE3:DE54="W"))</f>
        <v>0</v>
      </c>
      <c r="D25" s="194">
        <f>SUMPRODUCT((CZ3:CZ54=B25)*(DD3:DD54="D"))+SUMPRODUCT((DC3:DC54=B25)*(DE3:DE54="D"))</f>
        <v>0</v>
      </c>
      <c r="E25" s="194">
        <f>SUMPRODUCT((CZ3:CZ54=B25)*(DD3:DD54="L"))+SUMPRODUCT((DC3:DC54=B25)*(DE3:DE54="L"))</f>
        <v>0</v>
      </c>
      <c r="F25" s="194">
        <f>SUMIF(CZ3:CZ72,B25,DA3:DA72)+SUMIF(DC3:DC72,B25,DB3:DB72)</f>
        <v>0</v>
      </c>
      <c r="G25" s="194">
        <f>SUMIF(DC3:DC72,B25,DA3:DA72)+SUMIF(CZ3:CZ72,B25,DB3:DB72)</f>
        <v>0</v>
      </c>
      <c r="H25" s="194">
        <f t="shared" ref="H25:H28" si="40">F25-G25+1000</f>
        <v>1000</v>
      </c>
      <c r="I25" s="194">
        <f t="shared" ref="I25:I28" si="41">C25*3+D25*1</f>
        <v>0</v>
      </c>
      <c r="J25" s="194">
        <f>IF(Setup!G20&lt;&gt;"",Setup!G20,28)</f>
        <v>28</v>
      </c>
      <c r="K25" s="194">
        <f>IF(COUNTIF(I25:I29,4)&lt;&gt;4,RANK(I25,I25:I29),I77)</f>
        <v>1</v>
      </c>
      <c r="M25" s="194">
        <f>SUMPRODUCT((K25:K28=K25)*(J25:J28&lt;J25))+K25</f>
        <v>4</v>
      </c>
      <c r="N25" s="195" t="str">
        <f>INDEX(B25:B29,MATCH(1,M25:M29,0),0)</f>
        <v>Espérance Sportive de Tunis</v>
      </c>
      <c r="O25" s="194">
        <f>INDEX(K25:K29,MATCH(N25,B25:B29,0),0)</f>
        <v>1</v>
      </c>
      <c r="P25" s="194" t="str">
        <f>IF(O26=1,N25,"")</f>
        <v>Espérance Sportive de Tunis</v>
      </c>
      <c r="Q25" s="194" t="str">
        <f>IF(O27=2,N26,"")</f>
        <v/>
      </c>
      <c r="R25" s="194" t="str">
        <f>IF(O28=3,N27,"")</f>
        <v/>
      </c>
      <c r="S25" s="194" t="str">
        <f>IF(O29=4,N28,"")</f>
        <v/>
      </c>
      <c r="U25" s="194" t="str">
        <f>IF(P25&lt;&gt;"",P25,"")</f>
        <v>Espérance Sportive de Tunis</v>
      </c>
      <c r="V25" s="194">
        <f>SUMPRODUCT((CZ3:CZ54=U25)*(DC3:DC54=U26)*(DD3:DD54="W"))+SUMPRODUCT((CZ3:CZ54=U25)*(DC3:DC54=U27)*(DD3:DD54="W"))+SUMPRODUCT((CZ3:CZ54=U25)*(DC3:DC54=U28)*(DD3:DD54="W"))+SUMPRODUCT((CZ3:CZ54=U25)*(DC3:DC54=U29)*(DD3:DD54="W"))+SUMPRODUCT((CZ3:CZ54=U26)*(DC3:DC54=U25)*(DE3:DE54="W"))+SUMPRODUCT((CZ3:CZ54=U27)*(DC3:DC54=U25)*(DE3:DE54="W"))+SUMPRODUCT((CZ3:CZ54=U28)*(DC3:DC54=U25)*(DE3:DE54="W"))+SUMPRODUCT((CZ3:CZ54=U29)*(DC3:DC54=U25)*(DE3:DE54="W"))</f>
        <v>0</v>
      </c>
      <c r="W25" s="194">
        <f>SUMPRODUCT((CZ3:CZ54=U25)*(DC3:DC54=U26)*(DD3:DD54="D"))+SUMPRODUCT((CZ3:CZ54=U25)*(DC3:DC54=U27)*(DD3:DD54="D"))+SUMPRODUCT((CZ3:CZ54=U25)*(DC3:DC54=U28)*(DD3:DD54="D"))+SUMPRODUCT((CZ3:CZ54=U25)*(DC3:DC54=U29)*(DD3:DD54="D"))+SUMPRODUCT((CZ3:CZ54=U26)*(DC3:DC54=U25)*(DD3:DD54="D"))+SUMPRODUCT((CZ3:CZ54=U27)*(DC3:DC54=U25)*(DD3:DD54="D"))+SUMPRODUCT((CZ3:CZ54=U28)*(DC3:DC54=U25)*(DD3:DD54="D"))+SUMPRODUCT((CZ3:CZ54=U29)*(DC3:DC54=U25)*(DD3:DD54="D"))</f>
        <v>0</v>
      </c>
      <c r="X25" s="194">
        <f>SUMPRODUCT((CZ3:CZ54=U25)*(DC3:DC54=U26)*(DD3:DD54="L"))+SUMPRODUCT((CZ3:CZ54=U25)*(DC3:DC54=U27)*(DD3:DD54="L"))+SUMPRODUCT((CZ3:CZ54=U25)*(DC3:DC54=U28)*(DD3:DD54="L"))+SUMPRODUCT((CZ3:CZ54=U25)*(DC3:DC54=U29)*(DD3:DD54="L"))+SUMPRODUCT((CZ3:CZ54=U26)*(DC3:DC54=U25)*(DE3:DE54="L"))+SUMPRODUCT((CZ3:CZ54=U27)*(DC3:DC54=U25)*(DE3:DE54="L"))+SUMPRODUCT((CZ3:CZ54=U28)*(DC3:DC54=U25)*(DE3:DE54="L"))+SUMPRODUCT((CZ3:CZ54=U29)*(DC3:DC54=U25)*(DE3:DE54="L"))</f>
        <v>0</v>
      </c>
      <c r="Y25" s="194">
        <f>SUMPRODUCT((CZ3:CZ54=U25)*(DC3:DC54=U26)*DA3:DA54)+SUMPRODUCT((CZ3:CZ54=U25)*(DC3:DC54=U27)*DA3:DA54)+SUMPRODUCT((CZ3:CZ54=U25)*(DC3:DC54=U28)*DA3:DA54)+SUMPRODUCT((CZ3:CZ54=U25)*(DC3:DC54=U29)*DA3:DA54)+SUMPRODUCT((CZ3:CZ54=U26)*(DC3:DC54=U25)*DB3:DB54)+SUMPRODUCT((CZ3:CZ54=U27)*(DC3:DC54=U25)*DB3:DB54)+SUMPRODUCT((CZ3:CZ54=U28)*(DC3:DC54=U25)*DB3:DB54)+SUMPRODUCT((CZ3:CZ54=U29)*(DC3:DC54=U25)*DB3:DB54)</f>
        <v>0</v>
      </c>
      <c r="Z25" s="194">
        <f>SUMPRODUCT((CZ3:CZ54=U25)*(DC3:DC54=U26)*DB3:DB54)+SUMPRODUCT((CZ3:CZ54=U25)*(DC3:DC54=U27)*DB3:DB54)+SUMPRODUCT((CZ3:CZ54=U25)*(DC3:DC54=U28)*DB3:DB54)+SUMPRODUCT((CZ3:CZ54=U25)*(DC3:DC54=U29)*DB3:DB54)+SUMPRODUCT((CZ3:CZ54=U26)*(DC3:DC54=U25)*DA3:DA54)+SUMPRODUCT((CZ3:CZ54=U27)*(DC3:DC54=U25)*DA3:DA54)+SUMPRODUCT((CZ3:CZ54=U28)*(DC3:DC54=U25)*DA3:DA54)+SUMPRODUCT((CZ3:CZ54=U29)*(DC3:DC54=U25)*DA3:DA54)</f>
        <v>0</v>
      </c>
      <c r="AA25" s="194">
        <f>Y25-Z25+1000</f>
        <v>1000</v>
      </c>
      <c r="AB25" s="194">
        <f t="shared" ref="AB25:AB28" si="42">IF(U25&lt;&gt;"",V25*3+W25*1,"")</f>
        <v>0</v>
      </c>
      <c r="AC25" s="194">
        <f>IF(U25&lt;&gt;"",VLOOKUP(U25,B4:H52,7,FALSE),"")</f>
        <v>1000</v>
      </c>
      <c r="AD25" s="194">
        <f>IF(U25&lt;&gt;"",VLOOKUP(U25,B4:H52,5,FALSE),"")</f>
        <v>0</v>
      </c>
      <c r="AE25" s="194">
        <f>IF(U25&lt;&gt;"",VLOOKUP(U25,B4:J52,9,FALSE),"")</f>
        <v>5</v>
      </c>
      <c r="AF25" s="194">
        <f t="shared" ref="AF25:AF28" si="43">AB25</f>
        <v>0</v>
      </c>
      <c r="AG25" s="194">
        <f>IF(U25&lt;&gt;"",RANK(AF25,AF25:AF29),"")</f>
        <v>1</v>
      </c>
      <c r="AH25" s="194">
        <f>IF(U25&lt;&gt;"",SUMPRODUCT((AF25:AF29=AF25)*(AA25:AA29&gt;AA25)),"")</f>
        <v>0</v>
      </c>
      <c r="AI25" s="194">
        <f>IF(U25&lt;&gt;"",SUMPRODUCT((AF25:AF29=AF25)*(AA25:AA29=AA25)*(Y25:Y29&gt;Y25)),"")</f>
        <v>0</v>
      </c>
      <c r="AJ25" s="194">
        <f>IF(U25&lt;&gt;"",SUMPRODUCT((AF25:AF29=AF25)*(AA25:AA29=AA25)*(Y25:Y29=Y25)*(AC25:AC29&gt;AC25)),"")</f>
        <v>0</v>
      </c>
      <c r="AK25" s="194">
        <f>IF(U25&lt;&gt;"",SUMPRODUCT((AF25:AF29=AF25)*(AA25:AA29=AA25)*(Y25:Y29=Y25)*(AC25:AC29=AC25)*(AD25:AD29&gt;AD25)),"")</f>
        <v>0</v>
      </c>
      <c r="AL25" s="194">
        <f>IF(U25&lt;&gt;"",SUMPRODUCT((AF25:AF29=AF25)*(AA25:AA29=AA25)*(Y25:Y29=Y25)*(AC25:AC29=AC25)*(AD25:AD29=AD25)*(AE25:AE29&gt;AE25)),"")</f>
        <v>3</v>
      </c>
      <c r="AM25" s="194">
        <f>IF(U25&lt;&gt;"",IF(AM77&lt;&gt;"",IF(T76=3,AM77,AM77+T76),SUM(AG25:AL25)),"")</f>
        <v>4</v>
      </c>
      <c r="AN25" s="194" t="str">
        <f>IF(U25&lt;&gt;"",INDEX(U25:U29,MATCH(1,AM25:AM29,0),0),"")</f>
        <v>Flamengo</v>
      </c>
      <c r="CW25" s="194" t="str">
        <f>IF(AN25&lt;&gt;"",AN25,N25)</f>
        <v>Flamengo</v>
      </c>
      <c r="CX25" s="194">
        <v>1</v>
      </c>
      <c r="CY25" s="194">
        <v>23</v>
      </c>
      <c r="CZ25" s="194" t="str">
        <f>Matches!H26</f>
        <v>Los Angeles</v>
      </c>
      <c r="DA25" s="194">
        <f>IF(CZ2&lt;&gt;"",IF(AND(Matches!J26&lt;&gt;"",Matches!K26&lt;&gt;""),Matches!J26,0),"")</f>
        <v>0</v>
      </c>
      <c r="DB25" s="194">
        <f>IF(CZ2&lt;&gt;"",IF(AND(Matches!J26&lt;&gt;"",Matches!K26&lt;&gt;""),Matches!K26,0),"")</f>
        <v>0</v>
      </c>
      <c r="DC25" s="194" t="str">
        <f>Matches!M26</f>
        <v>Espérance Sportive de Tunis</v>
      </c>
      <c r="DD25" s="194" t="str">
        <f>IF(AND(Matches!J26&lt;&gt;"",Matches!K26&lt;&gt;""),IF(DA25&gt;DB25,"W",IF(DA25=DB25,"D","L")),"")</f>
        <v/>
      </c>
      <c r="DE25" s="194" t="str">
        <f t="shared" si="0"/>
        <v/>
      </c>
      <c r="DH25" s="202"/>
      <c r="DN25" s="20" t="str">
        <f>Setup!E26</f>
        <v>MEX</v>
      </c>
      <c r="DP25" s="212"/>
      <c r="DQ25" s="199"/>
      <c r="DR25" s="200" t="str">
        <f t="shared" si="15"/>
        <v>Monterrey</v>
      </c>
      <c r="DS25" s="201" t="s">
        <v>622</v>
      </c>
      <c r="DT25" s="200"/>
      <c r="DU25" s="196">
        <v>19</v>
      </c>
      <c r="DV25" s="202">
        <v>-3</v>
      </c>
      <c r="DW25" s="20"/>
      <c r="DX25" s="9">
        <v>19</v>
      </c>
      <c r="DY25" s="203">
        <f t="shared" si="13"/>
        <v>45827.75</v>
      </c>
      <c r="DZ25" s="204">
        <f>EB25+3/24</f>
        <v>45827.75</v>
      </c>
      <c r="EA25" s="205">
        <f t="shared" si="14"/>
        <v>45827.75</v>
      </c>
      <c r="EB25" s="204">
        <v>45827.625</v>
      </c>
      <c r="EC25" s="196">
        <f>SUM(Matches!S23:S26)</f>
        <v>10</v>
      </c>
      <c r="ED25" s="196" t="str">
        <f>INDEX(Language!A1:K117,MATCH(Setup!B26,Language!B1:B117,0),MATCH(Setup!C5,Language!A1:J1,0))</f>
        <v>Monterrey</v>
      </c>
    </row>
    <row r="26" spans="1:134" x14ac:dyDescent="0.25">
      <c r="A26" s="194">
        <f>VLOOKUP(B26,CW25:CX29,2,FALSE)</f>
        <v>4</v>
      </c>
      <c r="B26" s="195" t="str">
        <f t="shared" ref="B26:B28" si="44">ED20</f>
        <v>Espérance Sportive de Tunis</v>
      </c>
      <c r="C26" s="194">
        <f>SUMPRODUCT((CZ3:CZ54=B26)*(DD3:DD54="W"))+SUMPRODUCT((DC3:DC54=B26)*(DE3:DE54="W"))</f>
        <v>0</v>
      </c>
      <c r="D26" s="194">
        <f>SUMPRODUCT((CZ3:CZ54=B26)*(DD3:DD54="D"))+SUMPRODUCT((DC3:DC54=B26)*(DE3:DE54="D"))</f>
        <v>0</v>
      </c>
      <c r="E26" s="194">
        <f>SUMPRODUCT((CZ3:CZ54=B26)*(DD3:DD54="L"))+SUMPRODUCT((DC3:DC54=B26)*(DE3:DE54="L"))</f>
        <v>0</v>
      </c>
      <c r="F26" s="194">
        <f>SUMIF(CZ3:CZ72,B26,DA3:DA72)+SUMIF(DC3:DC72,B26,DB3:DB72)</f>
        <v>0</v>
      </c>
      <c r="G26" s="194">
        <f>SUMIF(DC3:DC72,B26,DA3:DA72)+SUMIF(CZ3:CZ72,B26,DB3:DB72)</f>
        <v>0</v>
      </c>
      <c r="H26" s="194">
        <f t="shared" si="40"/>
        <v>1000</v>
      </c>
      <c r="I26" s="194">
        <f t="shared" si="41"/>
        <v>0</v>
      </c>
      <c r="J26" s="194">
        <f>IF(Setup!G21&lt;&gt;"",Setup!G21,5)</f>
        <v>5</v>
      </c>
      <c r="K26" s="194">
        <f>IF(COUNTIF(I25:I29,4)&lt;&gt;4,RANK(I26,I25:I29),I78)</f>
        <v>1</v>
      </c>
      <c r="M26" s="194">
        <f>SUMPRODUCT((K25:K28=K26)*(J25:J28&lt;J26))+K26</f>
        <v>1</v>
      </c>
      <c r="N26" s="195" t="str">
        <f>INDEX(B25:B29,MATCH(2,M25:M29,0),0)</f>
        <v>Los Angeles</v>
      </c>
      <c r="O26" s="194">
        <f>INDEX(K25:K29,MATCH(N26,B25:B29,0),0)</f>
        <v>1</v>
      </c>
      <c r="P26" s="194" t="str">
        <f>IF(P25&lt;&gt;"",N26,"")</f>
        <v>Los Angeles</v>
      </c>
      <c r="Q26" s="194" t="str">
        <f>IF(Q25&lt;&gt;"",N27,"")</f>
        <v/>
      </c>
      <c r="R26" s="194" t="str">
        <f>IF(R25&lt;&gt;"",N28,"")</f>
        <v/>
      </c>
      <c r="S26" s="194" t="str">
        <f>IF(S25&lt;&gt;"",N29,"")</f>
        <v/>
      </c>
      <c r="U26" s="194" t="str">
        <f t="shared" ref="U26:U28" si="45">IF(P26&lt;&gt;"",P26,"")</f>
        <v>Los Angeles</v>
      </c>
      <c r="V26" s="194">
        <f>SUMPRODUCT((CZ3:CZ54=U26)*(DC3:DC54=U27)*(DD3:DD54="W"))+SUMPRODUCT((CZ3:CZ54=U26)*(DC3:DC54=U28)*(DD3:DD54="W"))+SUMPRODUCT((CZ3:CZ54=U26)*(DC3:DC54=U29)*(DD3:DD54="W"))+SUMPRODUCT((CZ3:CZ54=U26)*(DC3:DC54=U25)*(DD3:DD54="W"))+SUMPRODUCT((CZ3:CZ54=U27)*(DC3:DC54=U26)*(DE3:DE54="W"))+SUMPRODUCT((CZ3:CZ54=U28)*(DC3:DC54=U26)*(DE3:DE54="W"))+SUMPRODUCT((CZ3:CZ54=U29)*(DC3:DC54=U26)*(DE3:DE54="W"))+SUMPRODUCT((CZ3:CZ54=U25)*(DC3:DC54=U26)*(DE3:DE54="W"))</f>
        <v>0</v>
      </c>
      <c r="W26" s="194">
        <f>SUMPRODUCT((CZ3:CZ54=U26)*(DC3:DC54=U27)*(DD3:DD54="D"))+SUMPRODUCT((CZ3:CZ54=U26)*(DC3:DC54=U28)*(DD3:DD54="D"))+SUMPRODUCT((CZ3:CZ54=U26)*(DC3:DC54=U29)*(DD3:DD54="D"))+SUMPRODUCT((CZ3:CZ54=U26)*(DC3:DC54=U25)*(DD3:DD54="D"))+SUMPRODUCT((CZ3:CZ54=U27)*(DC3:DC54=U26)*(DD3:DD54="D"))+SUMPRODUCT((CZ3:CZ54=U28)*(DC3:DC54=U26)*(DD3:DD54="D"))+SUMPRODUCT((CZ3:CZ54=U29)*(DC3:DC54=U26)*(DD3:DD54="D"))+SUMPRODUCT((CZ3:CZ54=U25)*(DC3:DC54=U26)*(DD3:DD54="D"))</f>
        <v>0</v>
      </c>
      <c r="X26" s="194">
        <f>SUMPRODUCT((CZ3:CZ54=U26)*(DC3:DC54=U27)*(DD3:DD54="L"))+SUMPRODUCT((CZ3:CZ54=U26)*(DC3:DC54=U28)*(DD3:DD54="L"))+SUMPRODUCT((CZ3:CZ54=U26)*(DC3:DC54=U29)*(DD3:DD54="L"))+SUMPRODUCT((CZ3:CZ54=U26)*(DC3:DC54=U25)*(DD3:DD54="L"))+SUMPRODUCT((CZ3:CZ54=U27)*(DC3:DC54=U26)*(DE3:DE54="L"))+SUMPRODUCT((CZ3:CZ54=U28)*(DC3:DC54=U26)*(DE3:DE54="L"))+SUMPRODUCT((CZ3:CZ54=U29)*(DC3:DC54=U26)*(DE3:DE54="L"))+SUMPRODUCT((CZ3:CZ54=U25)*(DC3:DC54=U26)*(DE3:DE54="L"))</f>
        <v>0</v>
      </c>
      <c r="Y26" s="194">
        <f>SUMPRODUCT((CZ3:CZ54=U26)*(DC3:DC54=U27)*DA3:DA54)+SUMPRODUCT((CZ3:CZ54=U26)*(DC3:DC54=U28)*DA3:DA54)+SUMPRODUCT((CZ3:CZ54=U26)*(DC3:DC54=U29)*DA3:DA54)+SUMPRODUCT((CZ3:CZ54=U26)*(DC3:DC54=U25)*DA3:DA54)+SUMPRODUCT((CZ3:CZ54=U27)*(DC3:DC54=U26)*DB3:DB54)+SUMPRODUCT((CZ3:CZ54=U28)*(DC3:DC54=U26)*DB3:DB54)+SUMPRODUCT((CZ3:CZ54=U29)*(DC3:DC54=U26)*DB3:DB54)+SUMPRODUCT((CZ3:CZ54=U25)*(DC3:DC54=U26)*DB3:DB54)</f>
        <v>0</v>
      </c>
      <c r="Z26" s="194">
        <f>SUMPRODUCT((CZ3:CZ54=U26)*(DC3:DC54=U27)*DB3:DB54)+SUMPRODUCT((CZ3:CZ54=U26)*(DC3:DC54=U28)*DB3:DB54)+SUMPRODUCT((CZ3:CZ54=U26)*(DC3:DC54=U29)*DB3:DB54)+SUMPRODUCT((CZ3:CZ54=U26)*(DC3:DC54=U25)*DB3:DB54)+SUMPRODUCT((CZ3:CZ54=U27)*(DC3:DC54=U26)*DA3:DA54)+SUMPRODUCT((CZ3:CZ54=U28)*(DC3:DC54=U26)*DA3:DA54)+SUMPRODUCT((CZ3:CZ54=U29)*(DC3:DC54=U26)*DA3:DA54)+SUMPRODUCT((CZ3:CZ54=U25)*(DC3:DC54=U26)*DA3:DA54)</f>
        <v>0</v>
      </c>
      <c r="AA26" s="194">
        <f>Y26-Z26+1000</f>
        <v>1000</v>
      </c>
      <c r="AB26" s="194">
        <f t="shared" si="42"/>
        <v>0</v>
      </c>
      <c r="AC26" s="194">
        <f>IF(U26&lt;&gt;"",VLOOKUP(U26,B4:H52,7,FALSE),"")</f>
        <v>1000</v>
      </c>
      <c r="AD26" s="194">
        <f>IF(U26&lt;&gt;"",VLOOKUP(U26,B4:H52,5,FALSE),"")</f>
        <v>0</v>
      </c>
      <c r="AE26" s="194">
        <f>IF(U26&lt;&gt;"",VLOOKUP(U26,B4:J52,9,FALSE),"")</f>
        <v>13</v>
      </c>
      <c r="AF26" s="194">
        <f t="shared" si="43"/>
        <v>0</v>
      </c>
      <c r="AG26" s="194">
        <f>IF(U26&lt;&gt;"",RANK(AF26,AF25:AF29),"")</f>
        <v>1</v>
      </c>
      <c r="AH26" s="194">
        <f>IF(U26&lt;&gt;"",SUMPRODUCT((AF25:AF29=AF26)*(AA25:AA29&gt;AA26)),"")</f>
        <v>0</v>
      </c>
      <c r="AI26" s="194">
        <f>IF(U26&lt;&gt;"",SUMPRODUCT((AF25:AF29=AF26)*(AA25:AA29=AA26)*(Y25:Y29&gt;Y26)),"")</f>
        <v>0</v>
      </c>
      <c r="AJ26" s="194">
        <f>IF(U26&lt;&gt;"",SUMPRODUCT((AF25:AF29=AF26)*(AA25:AA29=AA26)*(Y25:Y29=Y26)*(AC25:AC29&gt;AC26)),"")</f>
        <v>0</v>
      </c>
      <c r="AK26" s="194">
        <f>IF(U26&lt;&gt;"",SUMPRODUCT((AF25:AF29=AF26)*(AA25:AA29=AA26)*(Y25:Y29=Y26)*(AC25:AC29=AC26)*(AD25:AD29&gt;AD26)),"")</f>
        <v>0</v>
      </c>
      <c r="AL26" s="194">
        <f>IF(U26&lt;&gt;"",SUMPRODUCT((AF25:AF29=AF26)*(AA25:AA29=AA26)*(Y25:Y29=Y26)*(AC25:AC29=AC26)*(AD25:AD29=AD26)*(AE25:AE29&gt;AE26)),"")</f>
        <v>2</v>
      </c>
      <c r="AM26" s="194">
        <f>IF(U26&lt;&gt;"",IF(AM78&lt;&gt;"",IF(T76=3,AM78,AM78+T76),SUM(AG26:AL26)),"")</f>
        <v>3</v>
      </c>
      <c r="AN26" s="194" t="str">
        <f>IF(U26&lt;&gt;"",INDEX(U25:U29,MATCH(2,AM25:AM29,0),0),"")</f>
        <v>Chelsea</v>
      </c>
      <c r="AO26" s="194" t="str">
        <f>IF(Q25&lt;&gt;"",Q25,"")</f>
        <v/>
      </c>
      <c r="AP26" s="194">
        <f>SUMPRODUCT((CZ3:CZ54=AO26)*(DC3:DC54=AO27)*(DD3:DD54="W"))+SUMPRODUCT((CZ3:CZ54=AO26)*(DC3:DC54=AO28)*(DD3:DD54="W"))+SUMPRODUCT((CZ3:CZ54=AO26)*(DC3:DC54=AO29)*(DD3:DD54="W"))+SUMPRODUCT((CZ3:CZ54=AO27)*(DC3:DC54=AO26)*(DE3:DE54="W"))+SUMPRODUCT((CZ3:CZ54=AO28)*(DC3:DC54=AO26)*(DE3:DE54="W"))+SUMPRODUCT((CZ3:CZ54=AO29)*(DC3:DC54=AO26)*(DE3:DE54="W"))</f>
        <v>0</v>
      </c>
      <c r="AQ26" s="194">
        <f>SUMPRODUCT((CZ3:CZ54=AO26)*(DC3:DC54=AO27)*(DD3:DD54="D"))+SUMPRODUCT((CZ3:CZ54=AO26)*(DC3:DC54=AO28)*(DD3:DD54="D"))+SUMPRODUCT((CZ3:CZ54=AO26)*(DC3:DC54=AO29)*(DD3:DD54="D"))+SUMPRODUCT((CZ3:CZ54=AO27)*(DC3:DC54=AO26)*(DD3:DD54="D"))+SUMPRODUCT((CZ3:CZ54=AO28)*(DC3:DC54=AO26)*(DD3:DD54="D"))+SUMPRODUCT((CZ3:CZ54=AO29)*(DC3:DC54=AO26)*(DD3:DD54="D"))</f>
        <v>0</v>
      </c>
      <c r="AR26" s="194">
        <f>SUMPRODUCT((CZ3:CZ54=AO26)*(DC3:DC54=AO27)*(DD3:DD54="L"))+SUMPRODUCT((CZ3:CZ54=AO26)*(DC3:DC54=AO28)*(DD3:DD54="L"))+SUMPRODUCT((CZ3:CZ54=AO26)*(DC3:DC54=AO29)*(DD3:DD54="L"))+SUMPRODUCT((CZ3:CZ54=AO27)*(DC3:DC54=AO26)*(DE3:DE54="L"))+SUMPRODUCT((CZ3:CZ54=AO28)*(DC3:DC54=AO26)*(DE3:DE54="L"))+SUMPRODUCT((CZ3:CZ54=AO29)*(DC3:DC54=AO26)*(DE3:DE54="L"))</f>
        <v>0</v>
      </c>
      <c r="AS26" s="194">
        <f>SUMPRODUCT((CZ3:CZ54=AO26)*(DC3:DC54=AO27)*DA3:DA54)+SUMPRODUCT((CZ3:CZ54=AO26)*(DC3:DC54=AO28)*DA3:DA54)+SUMPRODUCT((CZ3:CZ54=AO26)*(DC3:DC54=AO29)*DA3:DA54)+SUMPRODUCT((CZ3:CZ54=AO26)*(DC3:DC54=AO25)*DA3:DA54)+SUMPRODUCT((CZ3:CZ54=AO27)*(DC3:DC54=AO26)*DB3:DB54)+SUMPRODUCT((CZ3:CZ54=AO28)*(DC3:DC54=AO26)*DB3:DB54)+SUMPRODUCT((CZ3:CZ54=AO29)*(DC3:DC54=AO26)*DB3:DB54)+SUMPRODUCT((CZ3:CZ54=AO25)*(DC3:DC54=AO26)*DB3:DB54)</f>
        <v>0</v>
      </c>
      <c r="AT26" s="194">
        <f>SUMPRODUCT((CZ3:CZ54=AO26)*(DC3:DC54=AO27)*DB3:DB54)+SUMPRODUCT((CZ3:CZ54=AO26)*(DC3:DC54=AO28)*DB3:DB54)+SUMPRODUCT((CZ3:CZ54=AO26)*(DC3:DC54=AO29)*DB3:DB54)+SUMPRODUCT((CZ3:CZ54=AO26)*(DC3:DC54=AO25)*DB3:DB54)+SUMPRODUCT((CZ3:CZ54=AO27)*(DC3:DC54=AO26)*DA3:DA54)+SUMPRODUCT((CZ3:CZ54=AO28)*(DC3:DC54=AO26)*DA3:DA54)+SUMPRODUCT((CZ3:CZ54=AO29)*(DC3:DC54=AO26)*DA3:DA54)+SUMPRODUCT((CZ3:CZ54=AO25)*(DC3:DC54=AO26)*DA3:DA54)</f>
        <v>0</v>
      </c>
      <c r="AU26" s="194">
        <f>AS26-AT26+1000</f>
        <v>1000</v>
      </c>
      <c r="AV26" s="194" t="str">
        <f t="shared" ref="AV26:AV28" si="46">IF(AO26&lt;&gt;"",AP26*3+AQ26*1,"")</f>
        <v/>
      </c>
      <c r="AW26" s="194" t="str">
        <f>IF(AO26&lt;&gt;"",VLOOKUP(AO26,B4:H52,7,FALSE),"")</f>
        <v/>
      </c>
      <c r="AX26" s="194" t="str">
        <f>IF(AO26&lt;&gt;"",VLOOKUP(AO26,B4:H52,5,FALSE),"")</f>
        <v/>
      </c>
      <c r="AY26" s="194" t="str">
        <f>IF(AO26&lt;&gt;"",VLOOKUP(AO26,B4:J52,9,FALSE),"")</f>
        <v/>
      </c>
      <c r="AZ26" s="194" t="str">
        <f t="shared" ref="AZ26:AZ28" si="47">AV26</f>
        <v/>
      </c>
      <c r="BA26" s="194" t="str">
        <f>IF(AO26&lt;&gt;"",RANK(AZ26,AZ25:AZ29),"")</f>
        <v/>
      </c>
      <c r="BB26" s="194" t="str">
        <f>IF(AO26&lt;&gt;"",SUMPRODUCT((AZ25:AZ29=AZ26)*(AU25:AU29&gt;AU26)),"")</f>
        <v/>
      </c>
      <c r="BC26" s="194" t="str">
        <f>IF(AO26&lt;&gt;"",SUMPRODUCT((AZ25:AZ29=AZ26)*(AU25:AU29=AU26)*(AS25:AS29&gt;AS26)),"")</f>
        <v/>
      </c>
      <c r="BD26" s="194" t="str">
        <f>IF(AO26&lt;&gt;"",SUMPRODUCT((AZ25:AZ29=AZ26)*(AU25:AU29=AU26)*(AS25:AS29=AS26)*(AW25:AW29&gt;AW26)),"")</f>
        <v/>
      </c>
      <c r="BE26" s="194" t="str">
        <f>IF(AO26&lt;&gt;"",SUMPRODUCT((AZ25:AZ29=AZ26)*(AU25:AU29=AU26)*(AS25:AS29=AS26)*(AW25:AW29=AW26)*(AX25:AX29&gt;AX26)),"")</f>
        <v/>
      </c>
      <c r="BF26" s="194" t="str">
        <f>IF(AO26&lt;&gt;"",SUMPRODUCT((AZ25:AZ29=AZ26)*(AU25:AU29=AU26)*(AS25:AS29=AS26)*(AW25:AW29=AW26)*(AX25:AX29=AX26)*(AY25:AY29&gt;AY26)),"")</f>
        <v/>
      </c>
      <c r="BG26" s="194" t="str">
        <f>IF(AO26&lt;&gt;"",IF(BG78&lt;&gt;"",IF(AN76=3,BG78,BG78+AN76),SUM(BA26:BF26)+1),"")</f>
        <v/>
      </c>
      <c r="BH26" s="194" t="str">
        <f>IF(AO26&lt;&gt;"",INDEX(AO26:AO29,MATCH(2,BG26:BG29,0),0),"")</f>
        <v/>
      </c>
      <c r="CW26" s="194" t="str">
        <f>IF(BH26&lt;&gt;"",BH26,IF(AN26&lt;&gt;"",AN26,N26))</f>
        <v>Chelsea</v>
      </c>
      <c r="CX26" s="194">
        <v>2</v>
      </c>
      <c r="CY26" s="194">
        <v>24</v>
      </c>
      <c r="CZ26" s="194" t="str">
        <f>Matches!H27</f>
        <v>Bayern Munich</v>
      </c>
      <c r="DA26" s="194">
        <f>IF(CZ2&lt;&gt;"",IF(AND(Matches!J27&lt;&gt;"",Matches!K27&lt;&gt;""),Matches!J27,0),"")</f>
        <v>0</v>
      </c>
      <c r="DB26" s="194">
        <f>IF(CZ2&lt;&gt;"",IF(AND(Matches!J27&lt;&gt;"",Matches!K27&lt;&gt;""),Matches!K27,0),"")</f>
        <v>0</v>
      </c>
      <c r="DC26" s="194" t="str">
        <f>Matches!M27</f>
        <v>Boca Juniors</v>
      </c>
      <c r="DD26" s="194" t="str">
        <f>IF(AND(Matches!J27&lt;&gt;"",Matches!K27&lt;&gt;""),IF(DA26&gt;DB26,"W",IF(DA26=DB26,"D","L")),"")</f>
        <v/>
      </c>
      <c r="DE26" s="194" t="str">
        <f t="shared" si="0"/>
        <v/>
      </c>
      <c r="DH26" s="202"/>
      <c r="DN26" s="20" t="str">
        <f>Setup!E27</f>
        <v>ITA</v>
      </c>
      <c r="DP26" s="212"/>
      <c r="DQ26" s="199"/>
      <c r="DR26" s="200" t="str">
        <f t="shared" si="15"/>
        <v>Internazionale</v>
      </c>
      <c r="DS26" s="201" t="s">
        <v>623</v>
      </c>
      <c r="DT26" s="200"/>
      <c r="DU26" s="196">
        <v>20</v>
      </c>
      <c r="DV26" s="202">
        <v>-2.5</v>
      </c>
      <c r="DW26" s="20"/>
      <c r="DX26" s="9">
        <v>20</v>
      </c>
      <c r="DY26" s="203">
        <f t="shared" si="13"/>
        <v>45827.875</v>
      </c>
      <c r="DZ26" s="204">
        <f>EB26+3/24</f>
        <v>45827.875</v>
      </c>
      <c r="EA26" s="205">
        <f t="shared" si="14"/>
        <v>45827.875</v>
      </c>
      <c r="EB26" s="204">
        <v>45827.75</v>
      </c>
      <c r="ED26" s="196" t="str">
        <f>INDEX(Language!A1:K117,MATCH(Setup!B27,Language!B1:B117,0),MATCH(Setup!C5,Language!A1:J1,0))</f>
        <v>Internazionale</v>
      </c>
    </row>
    <row r="27" spans="1:134" ht="16.5" x14ac:dyDescent="0.25">
      <c r="A27" s="194">
        <f>VLOOKUP(B27,CW25:CX29,2,FALSE)</f>
        <v>2</v>
      </c>
      <c r="B27" s="195" t="str">
        <f t="shared" si="44"/>
        <v>Chelsea</v>
      </c>
      <c r="C27" s="194">
        <f>SUMPRODUCT((CZ3:CZ54=B27)*(DD3:DD54="W"))+SUMPRODUCT((DC3:DC54=B27)*(DE3:DE54="W"))</f>
        <v>0</v>
      </c>
      <c r="D27" s="194">
        <f>SUMPRODUCT((CZ3:CZ54=B27)*(DD3:DD54="D"))+SUMPRODUCT((DC3:DC54=B27)*(DE3:DE54="D"))</f>
        <v>0</v>
      </c>
      <c r="E27" s="194">
        <f>SUMPRODUCT((CZ3:CZ54=B27)*(DD3:DD54="L"))+SUMPRODUCT((DC3:DC54=B27)*(DE3:DE54="L"))</f>
        <v>0</v>
      </c>
      <c r="F27" s="194">
        <f>SUMIF(CZ3:CZ72,B27,DA3:DA72)+SUMIF(DC3:DC72,B27,DB3:DB72)</f>
        <v>0</v>
      </c>
      <c r="G27" s="194">
        <f>SUMIF(DC3:DC72,B27,DA3:DA72)+SUMIF(CZ3:CZ72,B27,DB3:DB72)</f>
        <v>0</v>
      </c>
      <c r="H27" s="194">
        <f t="shared" si="40"/>
        <v>1000</v>
      </c>
      <c r="I27" s="194">
        <f t="shared" si="41"/>
        <v>0</v>
      </c>
      <c r="J27" s="194">
        <f>IF(Setup!G22&lt;&gt;"",Setup!G22,18)</f>
        <v>18</v>
      </c>
      <c r="K27" s="194">
        <f>IF(COUNTIF(I25:I29,4)&lt;&gt;4,RANK(I27,I25:I29),I79)</f>
        <v>1</v>
      </c>
      <c r="M27" s="194">
        <f>SUMPRODUCT((K25:K28=K27)*(J25:J28&lt;J27))+K27</f>
        <v>3</v>
      </c>
      <c r="N27" s="195" t="str">
        <f>INDEX(B25:B29,MATCH(3,M25:M29,0),0)</f>
        <v>Chelsea</v>
      </c>
      <c r="O27" s="194">
        <f>INDEX(K25:K29,MATCH(N27,B25:B29,0),0)</f>
        <v>1</v>
      </c>
      <c r="P27" s="194" t="str">
        <f>IF(AND(P26&lt;&gt;"",O27=1),N27,"")</f>
        <v>Chelsea</v>
      </c>
      <c r="Q27" s="194" t="str">
        <f>IF(AND(Q26&lt;&gt;"",O28=2),N28,"")</f>
        <v/>
      </c>
      <c r="R27" s="194" t="str">
        <f>IF(AND(R26&lt;&gt;"",O29=3),N29,"")</f>
        <v/>
      </c>
      <c r="U27" s="194" t="str">
        <f t="shared" si="45"/>
        <v>Chelsea</v>
      </c>
      <c r="V27" s="194">
        <f>SUMPRODUCT((CZ3:CZ54=U27)*(DC3:DC54=U28)*(DD3:DD54="W"))+SUMPRODUCT((CZ3:CZ54=U27)*(DC3:DC54=U29)*(DD3:DD54="W"))+SUMPRODUCT((CZ3:CZ54=U27)*(DC3:DC54=U25)*(DD3:DD54="W"))+SUMPRODUCT((CZ3:CZ54=U27)*(DC3:DC54=U26)*(DD3:DD54="W"))+SUMPRODUCT((CZ3:CZ54=U28)*(DC3:DC54=U27)*(DE3:DE54="W"))+SUMPRODUCT((CZ3:CZ54=U29)*(DC3:DC54=U27)*(DE3:DE54="W"))+SUMPRODUCT((CZ3:CZ54=U25)*(DC3:DC54=U27)*(DE3:DE54="W"))+SUMPRODUCT((CZ3:CZ54=U26)*(DC3:DC54=U27)*(DE3:DE54="W"))</f>
        <v>0</v>
      </c>
      <c r="W27" s="194">
        <f>SUMPRODUCT((CZ3:CZ54=U27)*(DC3:DC54=U28)*(DD3:DD54="D"))+SUMPRODUCT((CZ3:CZ54=U27)*(DC3:DC54=U29)*(DD3:DD54="D"))+SUMPRODUCT((CZ3:CZ54=U27)*(DC3:DC54=U25)*(DD3:DD54="D"))+SUMPRODUCT((CZ3:CZ54=U27)*(DC3:DC54=U26)*(DD3:DD54="D"))+SUMPRODUCT((CZ3:CZ54=U28)*(DC3:DC54=U27)*(DD3:DD54="D"))+SUMPRODUCT((CZ3:CZ54=U29)*(DC3:DC54=U27)*(DD3:DD54="D"))+SUMPRODUCT((CZ3:CZ54=U25)*(DC3:DC54=U27)*(DD3:DD54="D"))+SUMPRODUCT((CZ3:CZ54=U26)*(DC3:DC54=U27)*(DD3:DD54="D"))</f>
        <v>0</v>
      </c>
      <c r="X27" s="194">
        <f>SUMPRODUCT((CZ3:CZ54=U27)*(DC3:DC54=U28)*(DD3:DD54="L"))+SUMPRODUCT((CZ3:CZ54=U27)*(DC3:DC54=U29)*(DD3:DD54="L"))+SUMPRODUCT((CZ3:CZ54=U27)*(DC3:DC54=U25)*(DD3:DD54="L"))+SUMPRODUCT((CZ3:CZ54=U27)*(DC3:DC54=U26)*(DD3:DD54="L"))+SUMPRODUCT((CZ3:CZ54=U28)*(DC3:DC54=U27)*(DE3:DE54="L"))+SUMPRODUCT((CZ3:CZ54=U29)*(DC3:DC54=U27)*(DE3:DE54="L"))+SUMPRODUCT((CZ3:CZ54=U25)*(DC3:DC54=U27)*(DE3:DE54="L"))+SUMPRODUCT((CZ3:CZ54=U26)*(DC3:DC54=U27)*(DE3:DE54="L"))</f>
        <v>0</v>
      </c>
      <c r="Y27" s="194">
        <f>SUMPRODUCT((CZ3:CZ54=U27)*(DC3:DC54=U28)*DA3:DA54)+SUMPRODUCT((CZ3:CZ54=U27)*(DC3:DC54=U29)*DA3:DA54)+SUMPRODUCT((CZ3:CZ54=U27)*(DC3:DC54=U25)*DA3:DA54)+SUMPRODUCT((CZ3:CZ54=U27)*(DC3:DC54=U26)*DA3:DA54)+SUMPRODUCT((CZ3:CZ54=U28)*(DC3:DC54=U27)*DB3:DB54)+SUMPRODUCT((CZ3:CZ54=U29)*(DC3:DC54=U27)*DB3:DB54)+SUMPRODUCT((CZ3:CZ54=U25)*(DC3:DC54=U27)*DB3:DB54)+SUMPRODUCT((CZ3:CZ54=U26)*(DC3:DC54=U27)*DB3:DB54)</f>
        <v>0</v>
      </c>
      <c r="Z27" s="194">
        <f>SUMPRODUCT((CZ3:CZ54=U27)*(DC3:DC54=U28)*DB3:DB54)+SUMPRODUCT((CZ3:CZ54=U27)*(DC3:DC54=U29)*DB3:DB54)+SUMPRODUCT((CZ3:CZ54=U27)*(DC3:DC54=U25)*DB3:DB54)+SUMPRODUCT((CZ3:CZ54=U27)*(DC3:DC54=U26)*DB3:DB54)+SUMPRODUCT((CZ3:CZ54=U28)*(DC3:DC54=U27)*DA3:DA54)+SUMPRODUCT((CZ3:CZ54=U29)*(DC3:DC54=U27)*DA3:DA54)+SUMPRODUCT((CZ3:CZ54=U25)*(DC3:DC54=U27)*DA3:DA54)+SUMPRODUCT((CZ3:CZ54=U26)*(DC3:DC54=U27)*DA3:DA54)</f>
        <v>0</v>
      </c>
      <c r="AA27" s="194">
        <f>Y27-Z27+1000</f>
        <v>1000</v>
      </c>
      <c r="AB27" s="194">
        <f t="shared" si="42"/>
        <v>0</v>
      </c>
      <c r="AC27" s="194">
        <f>IF(U27&lt;&gt;"",VLOOKUP(U27,B4:H52,7,FALSE),"")</f>
        <v>1000</v>
      </c>
      <c r="AD27" s="194">
        <f>IF(U27&lt;&gt;"",VLOOKUP(U27,B4:H52,5,FALSE),"")</f>
        <v>0</v>
      </c>
      <c r="AE27" s="194">
        <f>IF(U27&lt;&gt;"",VLOOKUP(U27,B4:J52,9,FALSE),"")</f>
        <v>18</v>
      </c>
      <c r="AF27" s="194">
        <f t="shared" si="43"/>
        <v>0</v>
      </c>
      <c r="AG27" s="194">
        <f>IF(U27&lt;&gt;"",RANK(AF27,AF25:AF29),"")</f>
        <v>1</v>
      </c>
      <c r="AH27" s="194">
        <f>IF(U27&lt;&gt;"",SUMPRODUCT((AF25:AF29=AF27)*(AA25:AA29&gt;AA27)),"")</f>
        <v>0</v>
      </c>
      <c r="AI27" s="194">
        <f>IF(U27&lt;&gt;"",SUMPRODUCT((AF25:AF29=AF27)*(AA25:AA29=AA27)*(Y25:Y29&gt;Y27)),"")</f>
        <v>0</v>
      </c>
      <c r="AJ27" s="194">
        <f>IF(U27&lt;&gt;"",SUMPRODUCT((AF25:AF29=AF27)*(AA25:AA29=AA27)*(Y25:Y29=Y27)*(AC25:AC29&gt;AC27)),"")</f>
        <v>0</v>
      </c>
      <c r="AK27" s="194">
        <f>IF(U27&lt;&gt;"",SUMPRODUCT((AF25:AF29=AF27)*(AA25:AA29=AA27)*(Y25:Y29=Y27)*(AC25:AC29=AC27)*(AD25:AD29&gt;AD27)),"")</f>
        <v>0</v>
      </c>
      <c r="AL27" s="194">
        <f>IF(U27&lt;&gt;"",SUMPRODUCT((AF25:AF29=AF27)*(AA25:AA29=AA27)*(Y25:Y29=Y27)*(AC25:AC29=AC27)*(AD25:AD29=AD27)*(AE25:AE29&gt;AE27)),"")</f>
        <v>1</v>
      </c>
      <c r="AM27" s="194">
        <f>IF(U27&lt;&gt;"",IF(AM79&lt;&gt;"",IF(T76=3,AM79,AM79+T76),SUM(AG27:AL27)),"")</f>
        <v>2</v>
      </c>
      <c r="AN27" s="194" t="str">
        <f>IF(U27&lt;&gt;"",INDEX(U25:U29,MATCH(3,AM25:AM29,0),0),"")</f>
        <v>Los Angeles</v>
      </c>
      <c r="AO27" s="194" t="str">
        <f>IF(Q26&lt;&gt;"",Q26,"")</f>
        <v/>
      </c>
      <c r="AP27" s="194">
        <f>SUMPRODUCT((CZ3:CZ54=AO27)*(DC3:DC54=AO28)*(DD3:DD54="W"))+SUMPRODUCT((CZ3:CZ54=AO27)*(DC3:DC54=AO29)*(DD3:DD54="W"))+SUMPRODUCT((CZ3:CZ54=AO27)*(DC3:DC54=AO26)*(DD3:DD54="W"))+SUMPRODUCT((CZ3:CZ54=AO28)*(DC3:DC54=AO27)*(DE3:DE54="W"))+SUMPRODUCT((CZ3:CZ54=AO29)*(DC3:DC54=AO27)*(DE3:DE54="W"))+SUMPRODUCT((CZ3:CZ54=AO26)*(DC3:DC54=AO27)*(DE3:DE54="W"))</f>
        <v>0</v>
      </c>
      <c r="AQ27" s="194">
        <f>SUMPRODUCT((CZ3:CZ54=AO27)*(DC3:DC54=AO28)*(DD3:DD54="D"))+SUMPRODUCT((CZ3:CZ54=AO27)*(DC3:DC54=AO29)*(DD3:DD54="D"))+SUMPRODUCT((CZ3:CZ54=AO27)*(DC3:DC54=AO26)*(DD3:DD54="D"))+SUMPRODUCT((CZ3:CZ54=AO28)*(DC3:DC54=AO27)*(DD3:DD54="D"))+SUMPRODUCT((CZ3:CZ54=AO29)*(DC3:DC54=AO27)*(DD3:DD54="D"))+SUMPRODUCT((CZ3:CZ54=AO26)*(DC3:DC54=AO27)*(DD3:DD54="D"))</f>
        <v>0</v>
      </c>
      <c r="AR27" s="194">
        <f>SUMPRODUCT((CZ3:CZ54=AO27)*(DC3:DC54=AO28)*(DD3:DD54="L"))+SUMPRODUCT((CZ3:CZ54=AO27)*(DC3:DC54=AO29)*(DD3:DD54="L"))+SUMPRODUCT((CZ3:CZ54=AO27)*(DC3:DC54=AO26)*(DD3:DD54="L"))+SUMPRODUCT((CZ3:CZ54=AO28)*(DC3:DC54=AO27)*(DE3:DE54="L"))+SUMPRODUCT((CZ3:CZ54=AO29)*(DC3:DC54=AO27)*(DE3:DE54="L"))+SUMPRODUCT((CZ3:CZ54=AO26)*(DC3:DC54=AO27)*(DE3:DE54="L"))</f>
        <v>0</v>
      </c>
      <c r="AS27" s="194">
        <f>SUMPRODUCT((CZ3:CZ54=AO27)*(DC3:DC54=AO28)*DA3:DA54)+SUMPRODUCT((CZ3:CZ54=AO27)*(DC3:DC54=AO29)*DA3:DA54)+SUMPRODUCT((CZ3:CZ54=AO27)*(DC3:DC54=AO25)*DA3:DA54)+SUMPRODUCT((CZ3:CZ54=AO27)*(DC3:DC54=AO26)*DA3:DA54)+SUMPRODUCT((CZ3:CZ54=AO28)*(DC3:DC54=AO27)*DB3:DB54)+SUMPRODUCT((CZ3:CZ54=AO29)*(DC3:DC54=AO27)*DB3:DB54)+SUMPRODUCT((CZ3:CZ54=AO25)*(DC3:DC54=AO27)*DB3:DB54)+SUMPRODUCT((CZ3:CZ54=AO26)*(DC3:DC54=AO27)*DB3:DB54)</f>
        <v>0</v>
      </c>
      <c r="AT27" s="194">
        <f>SUMPRODUCT((CZ3:CZ54=AO27)*(DC3:DC54=AO28)*DB3:DB54)+SUMPRODUCT((CZ3:CZ54=AO27)*(DC3:DC54=AO29)*DB3:DB54)+SUMPRODUCT((CZ3:CZ54=AO27)*(DC3:DC54=AO25)*DB3:DB54)+SUMPRODUCT((CZ3:CZ54=AO27)*(DC3:DC54=AO26)*DB3:DB54)+SUMPRODUCT((CZ3:CZ54=AO28)*(DC3:DC54=AO27)*DA3:DA54)+SUMPRODUCT((CZ3:CZ54=AO29)*(DC3:DC54=AO27)*DA3:DA54)+SUMPRODUCT((CZ3:CZ54=AO25)*(DC3:DC54=AO27)*DA3:DA54)+SUMPRODUCT((CZ3:CZ54=AO26)*(DC3:DC54=AO27)*DA3:DA54)</f>
        <v>0</v>
      </c>
      <c r="AU27" s="194">
        <f>AS27-AT27+1000</f>
        <v>1000</v>
      </c>
      <c r="AV27" s="194" t="str">
        <f t="shared" si="46"/>
        <v/>
      </c>
      <c r="AW27" s="194" t="str">
        <f>IF(AO27&lt;&gt;"",VLOOKUP(AO27,B4:H52,7,FALSE),"")</f>
        <v/>
      </c>
      <c r="AX27" s="194" t="str">
        <f>IF(AO27&lt;&gt;"",VLOOKUP(AO27,B4:H52,5,FALSE),"")</f>
        <v/>
      </c>
      <c r="AY27" s="194" t="str">
        <f>IF(AO27&lt;&gt;"",VLOOKUP(AO27,B4:J52,9,FALSE),"")</f>
        <v/>
      </c>
      <c r="AZ27" s="194" t="str">
        <f t="shared" si="47"/>
        <v/>
      </c>
      <c r="BA27" s="194" t="str">
        <f>IF(AO27&lt;&gt;"",RANK(AZ27,AZ25:AZ29),"")</f>
        <v/>
      </c>
      <c r="BB27" s="194" t="str">
        <f>IF(AO27&lt;&gt;"",SUMPRODUCT((AZ25:AZ29=AZ27)*(AU25:AU29&gt;AU27)),"")</f>
        <v/>
      </c>
      <c r="BC27" s="194" t="str">
        <f>IF(AO27&lt;&gt;"",SUMPRODUCT((AZ25:AZ29=AZ27)*(AU25:AU29=AU27)*(AS25:AS29&gt;AS27)),"")</f>
        <v/>
      </c>
      <c r="BD27" s="194" t="str">
        <f>IF(AO27&lt;&gt;"",SUMPRODUCT((AZ25:AZ29=AZ27)*(AU25:AU29=AU27)*(AS25:AS29=AS27)*(AW25:AW29&gt;AW27)),"")</f>
        <v/>
      </c>
      <c r="BE27" s="194" t="str">
        <f>IF(AO27&lt;&gt;"",SUMPRODUCT((AZ25:AZ29=AZ27)*(AU25:AU29=AU27)*(AS25:AS29=AS27)*(AW25:AW29=AW27)*(AX25:AX29&gt;AX27)),"")</f>
        <v/>
      </c>
      <c r="BF27" s="194" t="str">
        <f>IF(AO27&lt;&gt;"",SUMPRODUCT((AZ25:AZ29=AZ27)*(AU25:AU29=AU27)*(AS25:AS29=AS27)*(AW25:AW29=AW27)*(AX25:AX29=AX27)*(AY25:AY29&gt;AY27)),"")</f>
        <v/>
      </c>
      <c r="BG27" s="194" t="str">
        <f>IF(AO27&lt;&gt;"",IF(BG79&lt;&gt;"",IF(AN76=3,BG79,BG79+AN76),SUM(BA27:BF27)+1),"")</f>
        <v/>
      </c>
      <c r="BH27" s="194" t="str">
        <f>IF(AO27&lt;&gt;"",INDEX(AO26:AO29,MATCH(3,BG26:BG29,0),0),"")</f>
        <v/>
      </c>
      <c r="BI27" s="194" t="str">
        <f>IF(R25&lt;&gt;"",R25,"")</f>
        <v/>
      </c>
      <c r="BJ27" s="194">
        <f>SUMPRODUCT((CZ3:CZ54=BI27)*(DC3:DC54=BI28)*(DD3:DD54="W"))+SUMPRODUCT((CZ3:CZ54=BI27)*(DC3:DC54=BI29)*(DD3:DD54="W"))+SUMPRODUCT((CZ3:CZ54=BI27)*(DC3:DC54=BI30)*(DD3:DD54="W"))+SUMPRODUCT((CZ3:CZ54=BI28)*(DC3:DC54=BI27)*(DE3:DE54="W"))+SUMPRODUCT((CZ3:CZ54=BI29)*(DC3:DC54=BI27)*(DE3:DE54="W"))+SUMPRODUCT((CZ3:CZ54=BI30)*(DC3:DC54=BI27)*(DE3:DE54="W"))</f>
        <v>0</v>
      </c>
      <c r="BK27" s="194">
        <f>SUMPRODUCT((CZ3:CZ54=BI27)*(DC3:DC54=BI28)*(DD3:DD54="D"))+SUMPRODUCT((CZ3:CZ54=BI27)*(DC3:DC54=BI29)*(DD3:DD54="D"))+SUMPRODUCT((CZ3:CZ54=BI27)*(DC3:DC54=BI30)*(DD3:DD54="D"))+SUMPRODUCT((CZ3:CZ54=BI28)*(DC3:DC54=BI27)*(DD3:DD54="D"))+SUMPRODUCT((CZ3:CZ54=BI29)*(DC3:DC54=BI27)*(DD3:DD54="D"))+SUMPRODUCT((CZ3:CZ54=BI30)*(DC3:DC54=BI27)*(DD3:DD54="D"))</f>
        <v>0</v>
      </c>
      <c r="BL27" s="194">
        <f>SUMPRODUCT((CZ3:CZ54=BI27)*(DC3:DC54=BI28)*(DD3:DD54="L"))+SUMPRODUCT((CZ3:CZ54=BI27)*(DC3:DC54=BI29)*(DD3:DD54="L"))+SUMPRODUCT((CZ3:CZ54=BI27)*(DC3:DC54=BI30)*(DD3:DD54="L"))+SUMPRODUCT((CZ3:CZ54=BI28)*(DC3:DC54=BI27)*(DE3:DE54="L"))+SUMPRODUCT((CZ3:CZ54=BI29)*(DC3:DC54=BI27)*(DE3:DE54="L"))+SUMPRODUCT((CZ3:CZ54=BI30)*(DC3:DC54=BI27)*(DE3:DE54="L"))</f>
        <v>0</v>
      </c>
      <c r="BM27" s="194">
        <f>SUMPRODUCT((CZ3:CZ54=BI27)*(DC3:DC54=BI28)*DA3:DA54)+SUMPRODUCT((CZ3:CZ54=BI27)*(DC3:DC54=BI29)*DA3:DA54)+SUMPRODUCT((CZ3:CZ54=BI27)*(DC3:DC54=BI25)*DA3:DA54)+SUMPRODUCT((CZ3:CZ54=BI27)*(DC3:DC54=BI26)*DA3:DA54)+SUMPRODUCT((CZ3:CZ54=BI28)*(DC3:DC54=BI27)*DB3:DB54)+SUMPRODUCT((CZ3:CZ54=BI29)*(DC3:DC54=BI27)*DB3:DB54)+SUMPRODUCT((CZ3:CZ54=BI25)*(DC3:DC54=BI27)*DB3:DB54)+SUMPRODUCT((CZ3:CZ54=BI26)*(DC3:DC54=BI27)*DB3:DB54)</f>
        <v>0</v>
      </c>
      <c r="BN27" s="194">
        <f>SUMPRODUCT((CZ3:CZ54=BI27)*(DC3:DC54=BI28)*DB3:DB54)+SUMPRODUCT((CZ3:CZ54=BI27)*(DC3:DC54=BI29)*DB3:DB54)+SUMPRODUCT((CZ3:CZ54=BI27)*(DC3:DC54=BI25)*DB3:DB54)+SUMPRODUCT((CZ3:CZ54=BI27)*(DC3:DC54=BI26)*DB3:DB54)+SUMPRODUCT((CZ3:CZ54=BI28)*(DC3:DC54=BI27)*DA3:DA54)+SUMPRODUCT((CZ3:CZ54=BI29)*(DC3:DC54=BI27)*DA3:DA54)+SUMPRODUCT((CZ3:CZ54=BI25)*(DC3:DC54=BI27)*DA3:DA54)+SUMPRODUCT((CZ3:CZ54=BI26)*(DC3:DC54=BI27)*DA3:DA54)</f>
        <v>0</v>
      </c>
      <c r="BO27" s="194">
        <f>BM27-BN27+1000</f>
        <v>1000</v>
      </c>
      <c r="BP27" s="194" t="str">
        <f>IF(BI27&lt;&gt;"",BJ27*3+BK27*1,"")</f>
        <v/>
      </c>
      <c r="BQ27" s="194" t="str">
        <f>IF(BI27&lt;&gt;"",VLOOKUP(BI27,B4:H52,7,FALSE),"")</f>
        <v/>
      </c>
      <c r="BR27" s="194" t="str">
        <f>IF(BI27&lt;&gt;"",VLOOKUP(BI27,B4:H52,5,FALSE),"")</f>
        <v/>
      </c>
      <c r="BS27" s="194" t="str">
        <f>IF(BI27&lt;&gt;"",VLOOKUP(BI27,B4:J52,9,FALSE),"")</f>
        <v/>
      </c>
      <c r="BT27" s="194" t="str">
        <f t="shared" ref="BT27:BT28" si="48">BP27</f>
        <v/>
      </c>
      <c r="BU27" s="194" t="str">
        <f>IF(BI27&lt;&gt;"",RANK(BT27,BT25:BT29),"")</f>
        <v/>
      </c>
      <c r="BV27" s="194" t="str">
        <f>IF(BI27&lt;&gt;"",SUMPRODUCT((BT25:BT29=BT27)*(BO25:BO29&gt;BO27)),"")</f>
        <v/>
      </c>
      <c r="BW27" s="194" t="str">
        <f>IF(BI27&lt;&gt;"",SUMPRODUCT((BT25:BT29=BT27)*(BO25:BO29=BO27)*(BM25:BM29&gt;BM27)),"")</f>
        <v/>
      </c>
      <c r="BX27" s="194" t="str">
        <f>IF(BI27&lt;&gt;"",SUMPRODUCT((BT25:BT29=BT27)*(BO25:BO29=BO27)*(BM25:BM29=BM27)*(BQ25:BQ29&gt;BQ27)),"")</f>
        <v/>
      </c>
      <c r="BY27" s="194" t="str">
        <f>IF(BI27&lt;&gt;"",SUMPRODUCT((BT25:BT29=BT27)*(BO25:BO29=BO27)*(BM25:BM29=BM27)*(BQ25:BQ29=BQ27)*(BR25:BR29&gt;BR27)),"")</f>
        <v/>
      </c>
      <c r="BZ27" s="194" t="str">
        <f>IF(BI27&lt;&gt;"",SUMPRODUCT((BT25:BT29=BT27)*(BO25:BO29=BO27)*(BM25:BM29=BM27)*(BQ25:BQ29=BQ27)*(BR25:BR29=BR27)*(BS25:BS29&gt;BS27)),"")</f>
        <v/>
      </c>
      <c r="CA27" s="194" t="str">
        <f>IF(BI27&lt;&gt;"",SUM(BU27:BZ27)+2,"")</f>
        <v/>
      </c>
      <c r="CB27" s="194" t="str">
        <f>IF(BI27&lt;&gt;"",INDEX(BI27:BI29,MATCH(3,CA27:CA29,0),0),"")</f>
        <v/>
      </c>
      <c r="CW27" s="194" t="str">
        <f>IF(CB27&lt;&gt;"",CB27,IF(BH27&lt;&gt;"",BH27,IF(AN27&lt;&gt;"",AN27,N27)))</f>
        <v>Los Angeles</v>
      </c>
      <c r="CX27" s="194">
        <v>3</v>
      </c>
      <c r="CY27" s="194">
        <v>25</v>
      </c>
      <c r="CZ27" s="194" t="str">
        <f>Matches!H28</f>
        <v>Mamelodi Sundowns</v>
      </c>
      <c r="DA27" s="194">
        <f>IF(CZ2&lt;&gt;"",IF(AND(Matches!J28&lt;&gt;"",Matches!K28&lt;&gt;""),Matches!J28,0),"")</f>
        <v>0</v>
      </c>
      <c r="DB27" s="194">
        <f>IF(CZ2&lt;&gt;"",IF(AND(Matches!J28&lt;&gt;"",Matches!K28&lt;&gt;""),Matches!K28,0),"")</f>
        <v>0</v>
      </c>
      <c r="DC27" s="194" t="str">
        <f>Matches!M28</f>
        <v>Borussia Dortmund</v>
      </c>
      <c r="DD27" s="194" t="str">
        <f>IF(AND(Matches!J28&lt;&gt;"",Matches!K28&lt;&gt;""),IF(DA27&gt;DB27,"W",IF(DA27=DB27,"D","L")),"")</f>
        <v/>
      </c>
      <c r="DE27" s="194" t="str">
        <f t="shared" si="0"/>
        <v/>
      </c>
      <c r="DH27" s="202"/>
      <c r="DN27" s="20" t="str">
        <f>Setup!E28</f>
        <v>BRA</v>
      </c>
      <c r="DP27" s="212" t="s">
        <v>88</v>
      </c>
      <c r="DQ27" s="199"/>
      <c r="DR27" s="200" t="str">
        <f t="shared" si="15"/>
        <v>Fluminense</v>
      </c>
      <c r="DS27" s="201" t="s">
        <v>624</v>
      </c>
      <c r="DT27" s="200"/>
      <c r="DU27" s="196">
        <v>21</v>
      </c>
      <c r="DV27" s="202">
        <v>-2</v>
      </c>
      <c r="DW27" s="20"/>
      <c r="DX27" s="9">
        <v>21</v>
      </c>
      <c r="DY27" s="203">
        <f t="shared" si="13"/>
        <v>45828.5</v>
      </c>
      <c r="DZ27" s="204">
        <v>45828.5</v>
      </c>
      <c r="EA27" s="205">
        <f t="shared" si="14"/>
        <v>45828.5</v>
      </c>
      <c r="EB27" s="204">
        <v>45828.5</v>
      </c>
      <c r="ED27" s="196" t="str">
        <f>INDEX(Language!A1:K117,MATCH(Setup!B28,Language!B1:B117,0),MATCH(Setup!C5,Language!A1:J1,0))</f>
        <v>Fluminense</v>
      </c>
    </row>
    <row r="28" spans="1:134" x14ac:dyDescent="0.25">
      <c r="A28" s="194">
        <f>VLOOKUP(B28,CW25:CX29,2,FALSE)</f>
        <v>3</v>
      </c>
      <c r="B28" s="195" t="str">
        <f t="shared" si="44"/>
        <v>Los Angeles</v>
      </c>
      <c r="C28" s="194">
        <f>SUMPRODUCT((CZ3:CZ54=B28)*(DD3:DD54="W"))+SUMPRODUCT((DC3:DC54=B28)*(DE3:DE54="W"))</f>
        <v>0</v>
      </c>
      <c r="D28" s="194">
        <f>SUMPRODUCT((CZ3:CZ54=B28)*(DD3:DD54="D"))+SUMPRODUCT((DC3:DC54=B28)*(DE3:DE54="D"))</f>
        <v>0</v>
      </c>
      <c r="E28" s="194">
        <f>SUMPRODUCT((CZ3:CZ54=B28)*(DD3:DD54="L"))+SUMPRODUCT((DC3:DC54=B28)*(DE3:DE54="L"))</f>
        <v>0</v>
      </c>
      <c r="F28" s="194">
        <f>SUMIF(CZ3:CZ72,B28,DA3:DA72)+SUMIF(DC3:DC72,B28,DB3:DB72)</f>
        <v>0</v>
      </c>
      <c r="G28" s="194">
        <f>SUMIF(DC3:DC72,B28,DA3:DA72)+SUMIF(CZ3:CZ72,B28,DB3:DB72)</f>
        <v>0</v>
      </c>
      <c r="H28" s="194">
        <f t="shared" si="40"/>
        <v>1000</v>
      </c>
      <c r="I28" s="194">
        <f t="shared" si="41"/>
        <v>0</v>
      </c>
      <c r="J28" s="194">
        <f>IF(Setup!G23&lt;&gt;"",Setup!G23,13)</f>
        <v>13</v>
      </c>
      <c r="K28" s="194">
        <f>IF(COUNTIF(I25:I29,4)&lt;&gt;4,RANK(I28,I25:I29),I80)</f>
        <v>1</v>
      </c>
      <c r="M28" s="194">
        <f>SUMPRODUCT((K25:K28=K28)*(J25:J28&lt;J28))+K28</f>
        <v>2</v>
      </c>
      <c r="N28" s="195" t="str">
        <f>INDEX(B25:B29,MATCH(4,M25:M29,0),0)</f>
        <v>Flamengo</v>
      </c>
      <c r="O28" s="194">
        <f>INDEX(K25:K29,MATCH(N28,B25:B29,0),0)</f>
        <v>1</v>
      </c>
      <c r="P28" s="194" t="str">
        <f>IF(AND(P27&lt;&gt;"",O28=1),N28,"")</f>
        <v>Flamengo</v>
      </c>
      <c r="Q28" s="194" t="str">
        <f>IF(AND(Q27&lt;&gt;"",O29=2),N29,"")</f>
        <v/>
      </c>
      <c r="U28" s="194" t="str">
        <f t="shared" si="45"/>
        <v>Flamengo</v>
      </c>
      <c r="V28" s="194">
        <f>SUMPRODUCT((CZ3:CZ54=U28)*(DC3:DC54=U29)*(DD3:DD54="W"))+SUMPRODUCT((CZ3:CZ54=U28)*(DC3:DC54=U25)*(DD3:DD54="W"))+SUMPRODUCT((CZ3:CZ54=U28)*(DC3:DC54=U26)*(DD3:DD54="W"))+SUMPRODUCT((CZ3:CZ54=U28)*(DC3:DC54=U27)*(DD3:DD54="W"))+SUMPRODUCT((CZ3:CZ54=U29)*(DC3:DC54=U28)*(DE3:DE54="W"))+SUMPRODUCT((CZ3:CZ54=U25)*(DC3:DC54=U28)*(DE3:DE54="W"))+SUMPRODUCT((CZ3:CZ54=U26)*(DC3:DC54=U28)*(DE3:DE54="W"))+SUMPRODUCT((CZ3:CZ54=U27)*(DC3:DC54=U28)*(DE3:DE54="W"))</f>
        <v>0</v>
      </c>
      <c r="W28" s="194">
        <f>SUMPRODUCT((CZ3:CZ54=U28)*(DC3:DC54=U29)*(DD3:DD54="D"))+SUMPRODUCT((CZ3:CZ54=U28)*(DC3:DC54=U25)*(DD3:DD54="D"))+SUMPRODUCT((CZ3:CZ54=U28)*(DC3:DC54=U26)*(DD3:DD54="D"))+SUMPRODUCT((CZ3:CZ54=U28)*(DC3:DC54=U27)*(DD3:DD54="D"))+SUMPRODUCT((CZ3:CZ54=U29)*(DC3:DC54=U28)*(DD3:DD54="D"))+SUMPRODUCT((CZ3:CZ54=U25)*(DC3:DC54=U28)*(DD3:DD54="D"))+SUMPRODUCT((CZ3:CZ54=U26)*(DC3:DC54=U28)*(DD3:DD54="D"))+SUMPRODUCT((CZ3:CZ54=U27)*(DC3:DC54=U28)*(DD3:DD54="D"))</f>
        <v>0</v>
      </c>
      <c r="X28" s="194">
        <f>SUMPRODUCT((CZ3:CZ54=U28)*(DC3:DC54=U29)*(DD3:DD54="L"))+SUMPRODUCT((CZ3:CZ54=U28)*(DC3:DC54=U25)*(DD3:DD54="L"))+SUMPRODUCT((CZ3:CZ54=U28)*(DC3:DC54=U26)*(DD3:DD54="L"))+SUMPRODUCT((CZ3:CZ54=U28)*(DC3:DC54=U27)*(DD3:DD54="L"))+SUMPRODUCT((CZ3:CZ54=U29)*(DC3:DC54=U28)*(DE3:DE54="L"))+SUMPRODUCT((CZ3:CZ54=U25)*(DC3:DC54=U28)*(DE3:DE54="L"))+SUMPRODUCT((CZ3:CZ54=U26)*(DC3:DC54=U28)*(DE3:DE54="L"))+SUMPRODUCT((CZ3:CZ54=U27)*(DC3:DC54=U28)*(DE3:DE54="L"))</f>
        <v>0</v>
      </c>
      <c r="Y28" s="194">
        <f>SUMPRODUCT((CZ3:CZ54=U28)*(DC3:DC54=U29)*DA3:DA54)+SUMPRODUCT((CZ3:CZ54=U28)*(DC3:DC54=U25)*DA3:DA54)+SUMPRODUCT((CZ3:CZ54=U28)*(DC3:DC54=U26)*DA3:DA54)+SUMPRODUCT((CZ3:CZ54=U28)*(DC3:DC54=U27)*DA3:DA54)+SUMPRODUCT((CZ3:CZ54=U29)*(DC3:DC54=U28)*DB3:DB54)+SUMPRODUCT((CZ3:CZ54=U25)*(DC3:DC54=U28)*DB3:DB54)+SUMPRODUCT((CZ3:CZ54=U26)*(DC3:DC54=U28)*DB3:DB54)+SUMPRODUCT((CZ3:CZ54=U27)*(DC3:DC54=U28)*DB3:DB54)</f>
        <v>0</v>
      </c>
      <c r="Z28" s="194">
        <f>SUMPRODUCT((CZ3:CZ54=U28)*(DC3:DC54=U29)*DB3:DB54)+SUMPRODUCT((CZ3:CZ54=U28)*(DC3:DC54=U25)*DB3:DB54)+SUMPRODUCT((CZ3:CZ54=U28)*(DC3:DC54=U26)*DB3:DB54)+SUMPRODUCT((CZ3:CZ54=U28)*(DC3:DC54=U27)*DB3:DB54)+SUMPRODUCT((CZ3:CZ54=U29)*(DC3:DC54=U28)*DA3:DA54)+SUMPRODUCT((CZ3:CZ54=U25)*(DC3:DC54=U28)*DA3:DA54)+SUMPRODUCT((CZ3:CZ54=U26)*(DC3:DC54=U28)*DA3:DA54)+SUMPRODUCT((CZ3:CZ54=U27)*(DC3:DC54=U28)*DA3:DA54)</f>
        <v>0</v>
      </c>
      <c r="AA28" s="194">
        <f>Y28-Z28+1000</f>
        <v>1000</v>
      </c>
      <c r="AB28" s="194">
        <f t="shared" si="42"/>
        <v>0</v>
      </c>
      <c r="AC28" s="194">
        <f>IF(U28&lt;&gt;"",VLOOKUP(U28,B4:H52,7,FALSE),"")</f>
        <v>1000</v>
      </c>
      <c r="AD28" s="194">
        <f>IF(U28&lt;&gt;"",VLOOKUP(U28,B4:H52,5,FALSE),"")</f>
        <v>0</v>
      </c>
      <c r="AE28" s="194">
        <f>IF(U28&lt;&gt;"",VLOOKUP(U28,B4:J52,9,FALSE),"")</f>
        <v>28</v>
      </c>
      <c r="AF28" s="194">
        <f t="shared" si="43"/>
        <v>0</v>
      </c>
      <c r="AG28" s="194">
        <f>IF(U28&lt;&gt;"",RANK(AF28,AF25:AF29),"")</f>
        <v>1</v>
      </c>
      <c r="AH28" s="194">
        <f>IF(U28&lt;&gt;"",SUMPRODUCT((AF25:AF29=AF28)*(AA25:AA29&gt;AA28)),"")</f>
        <v>0</v>
      </c>
      <c r="AI28" s="194">
        <f>IF(U28&lt;&gt;"",SUMPRODUCT((AF25:AF29=AF28)*(AA25:AA29=AA28)*(Y25:Y29&gt;Y28)),"")</f>
        <v>0</v>
      </c>
      <c r="AJ28" s="194">
        <f>IF(U28&lt;&gt;"",SUMPRODUCT((AF25:AF29=AF28)*(AA25:AA29=AA28)*(Y25:Y29=Y28)*(AC25:AC29&gt;AC28)),"")</f>
        <v>0</v>
      </c>
      <c r="AK28" s="194">
        <f>IF(U28&lt;&gt;"",SUMPRODUCT((AF25:AF29=AF28)*(AA25:AA29=AA28)*(Y25:Y29=Y28)*(AC25:AC29=AC28)*(AD25:AD29&gt;AD28)),"")</f>
        <v>0</v>
      </c>
      <c r="AL28" s="194">
        <f>IF(U28&lt;&gt;"",SUMPRODUCT((AF25:AF29=AF28)*(AA25:AA29=AA28)*(Y25:Y29=Y28)*(AC25:AC29=AC28)*(AD25:AD29=AD28)*(AE25:AE29&gt;AE28)),"")</f>
        <v>0</v>
      </c>
      <c r="AM28" s="194">
        <f>IF(U28&lt;&gt;"",IF(AM80&lt;&gt;"",IF(T76=3,AM80,AM80+T76),SUM(AG28:AL28)),"")</f>
        <v>1</v>
      </c>
      <c r="AN28" s="194" t="str">
        <f>IF(U28&lt;&gt;"",INDEX(U25:U29,MATCH(4,AM25:AM29,0),0),"")</f>
        <v>Espérance Sportive de Tunis</v>
      </c>
      <c r="AO28" s="194" t="str">
        <f>IF(Q27&lt;&gt;"",Q27,"")</f>
        <v/>
      </c>
      <c r="AP28" s="194" t="str">
        <f>IF(AO28&lt;&gt;"",SUMPRODUCT((CZ3:CZ54=AO28)*(DC3:DC54=AO29)*(DD3:DD54="W"))+SUMPRODUCT((CZ3:CZ54=AO28)*(DC3:DC54=AO26)*(DD3:DD54="W"))+SUMPRODUCT((CZ3:CZ54=AO28)*(DC3:DC54=AO27)*(DD3:DD54="W"))+SUMPRODUCT((CZ3:CZ54=AO29)*(DC3:DC54=AO28)*(DE3:DE54="W"))+SUMPRODUCT((CZ3:CZ54=AO26)*(DC3:DC54=AO28)*(DE3:DE54="W"))+SUMPRODUCT((CZ3:CZ54=AO27)*(DC3:DC54=AO28)*(DE3:DE54="W")),"")</f>
        <v/>
      </c>
      <c r="AQ28" s="194" t="str">
        <f>IF(AO28&lt;&gt;"",SUMPRODUCT((CZ3:CZ54=AO28)*(DC3:DC54=AO29)*(DD3:DD54="D"))+SUMPRODUCT((CZ3:CZ54=AO28)*(DC3:DC54=AO26)*(DD3:DD54="D"))+SUMPRODUCT((CZ3:CZ54=AO28)*(DC3:DC54=AO27)*(DD3:DD54="D"))+SUMPRODUCT((CZ3:CZ54=AO29)*(DC3:DC54=AO28)*(DD3:DD54="D"))+SUMPRODUCT((CZ3:CZ54=AO26)*(DC3:DC54=AO28)*(DD3:DD54="D"))+SUMPRODUCT((CZ3:CZ54=AO27)*(DC3:DC54=AO28)*(DD3:DD54="D")),"")</f>
        <v/>
      </c>
      <c r="AR28" s="194" t="str">
        <f>IF(AO28&lt;&gt;"",SUMPRODUCT((CZ3:CZ54=AO28)*(DC3:DC54=AO29)*(DD3:DD54="L"))+SUMPRODUCT((CZ3:CZ54=AO28)*(DC3:DC54=AO26)*(DD3:DD54="L"))+SUMPRODUCT((CZ3:CZ54=AO28)*(DC3:DC54=AO27)*(DD3:DD54="L"))+SUMPRODUCT((CZ3:CZ54=AO29)*(DC3:DC54=AO28)*(DE3:DE54="L"))+SUMPRODUCT((CZ3:CZ54=AO26)*(DC3:DC54=AO28)*(DE3:DE54="L"))+SUMPRODUCT((CZ3:CZ54=AO27)*(DC3:DC54=AO28)*(DE3:DE54="L")),"")</f>
        <v/>
      </c>
      <c r="AS28" s="194">
        <f>SUMPRODUCT((CZ3:CZ54=AO28)*(DC3:DC54=AO29)*DA3:DA54)+SUMPRODUCT((CZ3:CZ54=AO28)*(DC3:DC54=AO25)*DA3:DA54)+SUMPRODUCT((CZ3:CZ54=AO28)*(DC3:DC54=AO26)*DA3:DA54)+SUMPRODUCT((CZ3:CZ54=AO28)*(DC3:DC54=AO27)*DA3:DA54)+SUMPRODUCT((CZ3:CZ54=AO29)*(DC3:DC54=AO28)*DB3:DB54)+SUMPRODUCT((CZ3:CZ54=AO25)*(DC3:DC54=AO28)*DB3:DB54)+SUMPRODUCT((CZ3:CZ54=AO26)*(DC3:DC54=AO28)*DB3:DB54)+SUMPRODUCT((CZ3:CZ54=AO27)*(DC3:DC54=AO28)*DB3:DB54)</f>
        <v>0</v>
      </c>
      <c r="AT28" s="194">
        <f>SUMPRODUCT((CZ3:CZ54=AO28)*(DC3:DC54=AO29)*DB3:DB54)+SUMPRODUCT((CZ3:CZ54=AO28)*(DC3:DC54=AO25)*DB3:DB54)+SUMPRODUCT((CZ3:CZ54=AO28)*(DC3:DC54=AO26)*DB3:DB54)+SUMPRODUCT((CZ3:CZ54=AO28)*(DC3:DC54=AO27)*DB3:DB54)+SUMPRODUCT((CZ3:CZ54=AO29)*(DC3:DC54=AO28)*DA3:DA54)+SUMPRODUCT((CZ3:CZ54=AO25)*(DC3:DC54=AO28)*DA3:DA54)+SUMPRODUCT((CZ3:CZ54=AO26)*(DC3:DC54=AO28)*DA3:DA54)+SUMPRODUCT((CZ3:CZ54=AO27)*(DC3:DC54=AO28)*DA3:DA54)</f>
        <v>0</v>
      </c>
      <c r="AU28" s="194">
        <f>AS28-AT28+1000</f>
        <v>1000</v>
      </c>
      <c r="AV28" s="194" t="str">
        <f t="shared" si="46"/>
        <v/>
      </c>
      <c r="AW28" s="194" t="str">
        <f>IF(AO28&lt;&gt;"",VLOOKUP(AO28,B4:H52,7,FALSE),"")</f>
        <v/>
      </c>
      <c r="AX28" s="194" t="str">
        <f>IF(AO28&lt;&gt;"",VLOOKUP(AO28,B4:H52,5,FALSE),"")</f>
        <v/>
      </c>
      <c r="AY28" s="194" t="str">
        <f>IF(AO28&lt;&gt;"",VLOOKUP(AO28,B4:J52,9,FALSE),"")</f>
        <v/>
      </c>
      <c r="AZ28" s="194" t="str">
        <f t="shared" si="47"/>
        <v/>
      </c>
      <c r="BA28" s="194" t="str">
        <f>IF(AO28&lt;&gt;"",RANK(AZ28,AZ25:AZ29),"")</f>
        <v/>
      </c>
      <c r="BB28" s="194" t="str">
        <f>IF(AO28&lt;&gt;"",SUMPRODUCT((AZ25:AZ29=AZ28)*(AU25:AU29&gt;AU28)),"")</f>
        <v/>
      </c>
      <c r="BC28" s="194" t="str">
        <f>IF(AO28&lt;&gt;"",SUMPRODUCT((AZ25:AZ29=AZ28)*(AU25:AU29=AU28)*(AS25:AS29&gt;AS28)),"")</f>
        <v/>
      </c>
      <c r="BD28" s="194" t="str">
        <f>IF(AO28&lt;&gt;"",SUMPRODUCT((AZ25:AZ29=AZ28)*(AU25:AU29=AU28)*(AS25:AS29=AS28)*(AW25:AW29&gt;AW28)),"")</f>
        <v/>
      </c>
      <c r="BE28" s="194" t="str">
        <f>IF(AO28&lt;&gt;"",SUMPRODUCT((AZ25:AZ29=AZ28)*(AU25:AU29=AU28)*(AS25:AS29=AS28)*(AW25:AW29=AW28)*(AX25:AX29&gt;AX28)),"")</f>
        <v/>
      </c>
      <c r="BF28" s="194" t="str">
        <f>IF(AO28&lt;&gt;"",SUMPRODUCT((AZ25:AZ29=AZ28)*(AU25:AU29=AU28)*(AS25:AS29=AS28)*(AW25:AW29=AW28)*(AX25:AX29=AX28)*(AY25:AY29&gt;AY28)),"")</f>
        <v/>
      </c>
      <c r="BG28" s="194" t="str">
        <f>IF(AO28&lt;&gt;"",IF(BG80&lt;&gt;"",IF(AN76=3,BG80,BG80+AN76),SUM(BA28:BF28)+1),"")</f>
        <v/>
      </c>
      <c r="BH28" s="194" t="str">
        <f>IF(AO28&lt;&gt;"",INDEX(AO26:AO29,MATCH(4,BG26:BG29,0),0),"")</f>
        <v/>
      </c>
      <c r="BI28" s="194" t="str">
        <f>IF(R26&lt;&gt;"",R26,"")</f>
        <v/>
      </c>
      <c r="BJ28" s="194">
        <f>SUMPRODUCT((CZ3:CZ54=BI28)*(DC3:DC54=BI29)*(DD3:DD54="W"))+SUMPRODUCT((CZ3:CZ54=BI28)*(DC3:DC54=BI30)*(DD3:DD54="W"))+SUMPRODUCT((CZ3:CZ54=BI28)*(DC3:DC54=BI27)*(DD3:DD54="W"))+SUMPRODUCT((CZ3:CZ54=BI29)*(DC3:DC54=BI28)*(DE3:DE54="W"))+SUMPRODUCT((CZ3:CZ54=BI30)*(DC3:DC54=BI28)*(DE3:DE54="W"))+SUMPRODUCT((CZ3:CZ54=BI27)*(DC3:DC54=BI28)*(DE3:DE54="W"))</f>
        <v>0</v>
      </c>
      <c r="BK28" s="194">
        <f>SUMPRODUCT((CZ3:CZ54=BI28)*(DC3:DC54=BI29)*(DD3:DD54="D"))+SUMPRODUCT((CZ3:CZ54=BI28)*(DC3:DC54=BI30)*(DD3:DD54="D"))+SUMPRODUCT((CZ3:CZ54=BI28)*(DC3:DC54=BI27)*(DD3:DD54="D"))+SUMPRODUCT((CZ3:CZ54=BI29)*(DC3:DC54=BI28)*(DD3:DD54="D"))+SUMPRODUCT((CZ3:CZ54=BI30)*(DC3:DC54=BI28)*(DD3:DD54="D"))+SUMPRODUCT((CZ3:CZ54=BI27)*(DC3:DC54=BI28)*(DD3:DD54="D"))</f>
        <v>0</v>
      </c>
      <c r="BL28" s="194">
        <f>SUMPRODUCT((CZ3:CZ54=BI28)*(DC3:DC54=BI29)*(DD3:DD54="L"))+SUMPRODUCT((CZ3:CZ54=BI28)*(DC3:DC54=BI30)*(DD3:DD54="L"))+SUMPRODUCT((CZ3:CZ54=BI28)*(DC3:DC54=BI27)*(DD3:DD54="L"))+SUMPRODUCT((CZ3:CZ54=BI29)*(DC3:DC54=BI28)*(DE3:DE54="L"))+SUMPRODUCT((CZ3:CZ54=BI30)*(DC3:DC54=BI28)*(DE3:DE54="L"))+SUMPRODUCT((CZ3:CZ54=BI27)*(DC3:DC54=BI28)*(DE3:DE54="L"))</f>
        <v>0</v>
      </c>
      <c r="BM28" s="194">
        <f>SUMPRODUCT((CZ3:CZ54=BI28)*(DC3:DC54=BI29)*DA3:DA54)+SUMPRODUCT((CZ3:CZ54=BI28)*(DC3:DC54=BI25)*DA3:DA54)+SUMPRODUCT((CZ3:CZ54=BI28)*(DC3:DC54=BI26)*DA3:DA54)+SUMPRODUCT((CZ3:CZ54=BI28)*(DC3:DC54=BI27)*DA3:DA54)+SUMPRODUCT((CZ3:CZ54=BI29)*(DC3:DC54=BI28)*DB3:DB54)+SUMPRODUCT((CZ3:CZ54=BI25)*(DC3:DC54=BI28)*DB3:DB54)+SUMPRODUCT((CZ3:CZ54=BI26)*(DC3:DC54=BI28)*DB3:DB54)+SUMPRODUCT((CZ3:CZ54=BI27)*(DC3:DC54=BI28)*DB3:DB54)</f>
        <v>0</v>
      </c>
      <c r="BN28" s="194">
        <f>SUMPRODUCT((CZ3:CZ54=BI28)*(DC3:DC54=BI29)*DB3:DB54)+SUMPRODUCT((CZ3:CZ54=BI28)*(DC3:DC54=BI25)*DB3:DB54)+SUMPRODUCT((CZ3:CZ54=BI28)*(DC3:DC54=BI26)*DB3:DB54)+SUMPRODUCT((CZ3:CZ54=BI28)*(DC3:DC54=BI27)*DB3:DB54)+SUMPRODUCT((CZ3:CZ54=BI29)*(DC3:DC54=BI28)*DA3:DA54)+SUMPRODUCT((CZ3:CZ54=BI25)*(DC3:DC54=BI28)*DA3:DA54)+SUMPRODUCT((CZ3:CZ54=BI26)*(DC3:DC54=BI28)*DA3:DA54)+SUMPRODUCT((CZ3:CZ54=BI27)*(DC3:DC54=BI28)*DA3:DA54)</f>
        <v>0</v>
      </c>
      <c r="BO28" s="194">
        <f>BM28-BN28+1000</f>
        <v>1000</v>
      </c>
      <c r="BP28" s="194" t="str">
        <f t="shared" ref="BP28" si="49">IF(BI28&lt;&gt;"",BJ28*3+BK28*1,"")</f>
        <v/>
      </c>
      <c r="BQ28" s="194" t="str">
        <f>IF(BI28&lt;&gt;"",VLOOKUP(BI28,B4:H52,7,FALSE),"")</f>
        <v/>
      </c>
      <c r="BR28" s="194" t="str">
        <f>IF(BI28&lt;&gt;"",VLOOKUP(BI28,B4:H52,5,FALSE),"")</f>
        <v/>
      </c>
      <c r="BS28" s="194" t="str">
        <f>IF(BI28&lt;&gt;"",VLOOKUP(BI28,B4:J52,9,FALSE),"")</f>
        <v/>
      </c>
      <c r="BT28" s="194" t="str">
        <f t="shared" si="48"/>
        <v/>
      </c>
      <c r="BU28" s="194" t="str">
        <f>IF(BI28&lt;&gt;"",RANK(BT28,BT25:BT29),"")</f>
        <v/>
      </c>
      <c r="BV28" s="194" t="str">
        <f>IF(BI28&lt;&gt;"",SUMPRODUCT((BT25:BT29=BT28)*(BO25:BO29&gt;BO28)),"")</f>
        <v/>
      </c>
      <c r="BW28" s="194" t="str">
        <f>IF(BI28&lt;&gt;"",SUMPRODUCT((BT25:BT29=BT28)*(BO25:BO29=BO28)*(BM25:BM29&gt;BM28)),"")</f>
        <v/>
      </c>
      <c r="BX28" s="194" t="str">
        <f>IF(BI28&lt;&gt;"",SUMPRODUCT((BT25:BT29=BT28)*(BO25:BO29=BO28)*(BM25:BM29=BM28)*(BQ25:BQ29&gt;BQ28)),"")</f>
        <v/>
      </c>
      <c r="BY28" s="194" t="str">
        <f>IF(BI28&lt;&gt;"",SUMPRODUCT((BT25:BT29=BT28)*(BO25:BO29=BO28)*(BM25:BM29=BM28)*(BQ25:BQ29=BQ28)*(BR25:BR29&gt;BR28)),"")</f>
        <v/>
      </c>
      <c r="BZ28" s="194" t="str">
        <f>IF(BI28&lt;&gt;"",SUMPRODUCT((BT25:BT29=BT28)*(BO25:BO29=BO28)*(BM25:BM29=BM28)*(BQ25:BQ29=BQ28)*(BR25:BR29=BR28)*(BS25:BS29&gt;BS28)),"")</f>
        <v/>
      </c>
      <c r="CA28" s="194" t="str">
        <f>IF(BI28&lt;&gt;"",SUM(BU28:BZ28)+2,"")</f>
        <v/>
      </c>
      <c r="CB28" s="194" t="str">
        <f>IF(BI28&lt;&gt;"",INDEX(BI27:BI29,MATCH(4,CA27:CA29,0),0),"")</f>
        <v/>
      </c>
      <c r="CC28" s="194" t="str">
        <f>IF(S25&lt;&gt;"",S25,"")</f>
        <v/>
      </c>
      <c r="CD28" s="194">
        <f>SUMPRODUCT((CZ3:CZ54=CC28)*(DC3:DC54=CC29)*(DD3:DD54="W"))+SUMPRODUCT((CZ3:CZ54=CC28)*(DC3:DC54=CC30)*(DD3:DD54="W"))+SUMPRODUCT((CZ3:CZ54=CC28)*(DC3:DC54=CC31)*(DD3:DD54="W"))+SUMPRODUCT((CZ3:CZ54=CC29)*(DC3:DC54=CC28)*(DE3:DE54="W"))+SUMPRODUCT((CZ3:CZ54=CC30)*(DC3:DC54=CC28)*(DE3:DE54="W"))+SUMPRODUCT((CZ3:CZ54=CC31)*(DC3:DC54=CC28)*(DE3:DE54="W"))</f>
        <v>0</v>
      </c>
      <c r="CE28" s="194">
        <f>SUMPRODUCT((CZ3:CZ54=CC28)*(DC3:DC54=CC29)*(DD3:DD54="D"))+SUMPRODUCT((CZ3:CZ54=CC28)*(DC3:DC54=CC30)*(DD3:DD54="D"))+SUMPRODUCT((CZ3:CZ54=CC28)*(DC3:DC54=CC31)*(DD3:DD54="D"))+SUMPRODUCT((CZ3:CZ54=CC29)*(DC3:DC54=CC28)*(DD3:DD54="D"))+SUMPRODUCT((CZ3:CZ54=CC30)*(DC3:DC54=CC28)*(DD3:DD54="D"))+SUMPRODUCT((CZ3:CZ54=CC31)*(DC3:DC54=CC28)*(DD3:DD54="D"))</f>
        <v>0</v>
      </c>
      <c r="CF28" s="194">
        <f>SUMPRODUCT((CZ3:CZ54=CC28)*(DC3:DC54=CC29)*(DD3:DD54="L"))+SUMPRODUCT((CZ3:CZ54=CC28)*(DC3:DC54=CC30)*(DD3:DD54="L"))+SUMPRODUCT((CZ3:CZ54=CC28)*(DC3:DC54=CC31)*(DD3:DD54="L"))+SUMPRODUCT((CZ3:CZ54=CC29)*(DC3:DC54=CC28)*(DE3:DE54="L"))+SUMPRODUCT((CZ3:CZ54=CC30)*(DC3:DC54=CC28)*(DE3:DE54="L"))+SUMPRODUCT((CZ3:CZ54=CC31)*(DC3:DC54=CC28)*(DE3:DE54="L"))</f>
        <v>0</v>
      </c>
      <c r="CG28" s="194">
        <f>SUMPRODUCT((CZ3:CZ54=CC28)*(DC3:DC54=CC29)*DA3:DA54)+SUMPRODUCT((CZ3:CZ54=CC28)*(DC3:DC54=CC25)*DA3:DA54)+SUMPRODUCT((CZ3:CZ54=CC28)*(DC3:DC54=CC26)*DA3:DA54)+SUMPRODUCT((CZ3:CZ54=CC28)*(DC3:DC54=CC27)*DA3:DA54)+SUMPRODUCT((CZ3:CZ54=CC29)*(DC3:DC54=CC28)*DB3:DB54)+SUMPRODUCT((CZ3:CZ54=CC25)*(DC3:DC54=CC28)*DB3:DB54)+SUMPRODUCT((CZ3:CZ54=CC26)*(DC3:DC54=CC28)*DB3:DB54)+SUMPRODUCT((CZ3:CZ54=CC27)*(DC3:DC54=CC28)*DB3:DB54)</f>
        <v>0</v>
      </c>
      <c r="CH28" s="194">
        <f>SUMPRODUCT((CZ3:CZ54=CC28)*(DC3:DC54=CC29)*DB3:DB54)+SUMPRODUCT((CZ3:CZ54=CC28)*(DC3:DC54=CC25)*DB3:DB54)+SUMPRODUCT((CZ3:CZ54=CC28)*(DC3:DC54=CC26)*DB3:DB54)+SUMPRODUCT((CZ3:CZ54=CC28)*(DC3:DC54=CC27)*DB3:DB54)+SUMPRODUCT((CZ3:CZ54=CC29)*(DC3:DC54=CC28)*DA3:DA54)+SUMPRODUCT((CZ3:CZ54=CC25)*(DC3:DC54=CC28)*DA3:DA54)+SUMPRODUCT((CZ3:CZ54=CC26)*(DC3:DC54=CC28)*DA3:DA54)+SUMPRODUCT((CZ3:CZ54=CC27)*(DC3:DC54=CC28)*DA3:DA54)</f>
        <v>0</v>
      </c>
      <c r="CI28" s="194">
        <f>CG28-CH28+1000</f>
        <v>1000</v>
      </c>
      <c r="CJ28" s="194" t="str">
        <f t="shared" ref="CJ28" si="50">IF(CC28&lt;&gt;"",CD28*3+CE28*1,"")</f>
        <v/>
      </c>
      <c r="CK28" s="194" t="str">
        <f>IF(CC28&lt;&gt;"",VLOOKUP(CC28,B4:H52,7,FALSE),"")</f>
        <v/>
      </c>
      <c r="CL28" s="194" t="str">
        <f>IF(CC28&lt;&gt;"",VLOOKUP(CC28,B4:H52,5,FALSE),"")</f>
        <v/>
      </c>
      <c r="CM28" s="194" t="str">
        <f>IF(CC28&lt;&gt;"",VLOOKUP(CC28,B4:J52,9,FALSE),"")</f>
        <v/>
      </c>
      <c r="CN28" s="194" t="str">
        <f t="shared" ref="CN28" si="51">CJ28</f>
        <v/>
      </c>
      <c r="CO28" s="194" t="str">
        <f>IF(CC28&lt;&gt;"",RANK(CN28,AF25:AF29),"")</f>
        <v/>
      </c>
      <c r="CP28" s="194" t="str">
        <f>IF(CC28&lt;&gt;"",SUMPRODUCT((CN25:CN29=CN28)*(CI25:CI29&gt;CI28)),"")</f>
        <v/>
      </c>
      <c r="CQ28" s="194" t="str">
        <f>IF(CC28&lt;&gt;"",SUMPRODUCT((CN25:CN29=CN28)*(CI25:CI29=CI28)*(CG25:CG29&gt;CG28)),"")</f>
        <v/>
      </c>
      <c r="CR28" s="194" t="str">
        <f>IF(CC28&lt;&gt;"",SUMPRODUCT((CN25:CN29=CN28)*(CI25:CI29=CI28)*(CG25:CG29=CG28)*(CK25:CK29&gt;CK28)),"")</f>
        <v/>
      </c>
      <c r="CS28" s="194" t="str">
        <f>IF(CC28&lt;&gt;"",SUMPRODUCT((CN25:CN29=CN28)*(CI25:CI29=CI28)*(CG25:CG29=CG28)*(CK25:CK29=CK28)*(CL25:CL29&gt;CL28)),"")</f>
        <v/>
      </c>
      <c r="CT28" s="194" t="str">
        <f>IF(CC28&lt;&gt;"",SUMPRODUCT((CN25:CN29=CN28)*(CI25:CI29=CI28)*(CG25:CG29=CG28)*(CK25:CK29=CK28)*(CL25:CL29=CL28)*(CM25:CM29&gt;CM28)),"")</f>
        <v/>
      </c>
      <c r="CU28" s="194" t="str">
        <f>IF(CC28&lt;&gt;"",SUM(CO28:CT28)+3,"")</f>
        <v/>
      </c>
      <c r="CV28" s="194" t="str">
        <f>IF(CC28&lt;&gt;"",IF(CU28=4,CC28,CC29),"")</f>
        <v/>
      </c>
      <c r="CW28" s="194" t="str">
        <f>IF(CV28&lt;&gt;"",CV28,IF(CB28&lt;&gt;"",CB28,IF(BH28&lt;&gt;"",BH28,IF(AN28&lt;&gt;"",AN28,N28))))</f>
        <v>Espérance Sportive de Tunis</v>
      </c>
      <c r="CX28" s="194">
        <v>4</v>
      </c>
      <c r="CY28" s="194">
        <v>26</v>
      </c>
      <c r="CZ28" s="194" t="str">
        <f>Matches!H29</f>
        <v>Internazionale</v>
      </c>
      <c r="DA28" s="194">
        <f>IF(CZ2&lt;&gt;"",IF(AND(Matches!J29&lt;&gt;"",Matches!K29&lt;&gt;""),Matches!J29,0),"")</f>
        <v>0</v>
      </c>
      <c r="DB28" s="194">
        <f>IF(CZ2&lt;&gt;"",IF(AND(Matches!J29&lt;&gt;"",Matches!K29&lt;&gt;""),Matches!K29,0),"")</f>
        <v>0</v>
      </c>
      <c r="DC28" s="194" t="str">
        <f>Matches!M29</f>
        <v>Urawa Red Diamonds</v>
      </c>
      <c r="DD28" s="194" t="str">
        <f>IF(AND(Matches!J29&lt;&gt;"",Matches!K29&lt;&gt;""),IF(DA28&gt;DB28,"W",IF(DA28=DB28,"D","L")),"")</f>
        <v/>
      </c>
      <c r="DE28" s="194" t="str">
        <f t="shared" si="0"/>
        <v/>
      </c>
      <c r="DN28" s="20" t="str">
        <f>Setup!E29</f>
        <v>GER</v>
      </c>
      <c r="DP28" s="212"/>
      <c r="DQ28" s="199"/>
      <c r="DR28" s="200" t="str">
        <f t="shared" si="15"/>
        <v>Borussia Dortmund</v>
      </c>
      <c r="DS28" s="201" t="s">
        <v>625</v>
      </c>
      <c r="DT28" s="200"/>
      <c r="DU28" s="196">
        <v>22</v>
      </c>
      <c r="DV28" s="202">
        <v>-1.5</v>
      </c>
      <c r="DW28" s="20"/>
      <c r="DX28" s="9">
        <v>22</v>
      </c>
      <c r="DY28" s="203">
        <f t="shared" si="13"/>
        <v>45828.583333333336</v>
      </c>
      <c r="DZ28" s="204">
        <v>45828.583333333336</v>
      </c>
      <c r="EA28" s="205">
        <f t="shared" si="14"/>
        <v>45828.583333333336</v>
      </c>
      <c r="EB28" s="204">
        <v>45828.583333333336</v>
      </c>
      <c r="ED28" s="196" t="str">
        <f>INDEX(Language!A1:K117,MATCH(Setup!B29,Language!B1:B117,0),MATCH(Setup!C5,Language!A1:J1,0))</f>
        <v>Borussia Dortmund</v>
      </c>
    </row>
    <row r="29" spans="1:134" x14ac:dyDescent="0.25">
      <c r="CV29" s="194" t="str">
        <f>IF(CC28&lt;&gt;"",IF(CC28=CV28,CC29,CC28),"")</f>
        <v/>
      </c>
      <c r="CY29" s="194">
        <v>27</v>
      </c>
      <c r="CZ29" s="194" t="str">
        <f>Matches!H30</f>
        <v>Fluminense</v>
      </c>
      <c r="DA29" s="194">
        <f>IF(CZ2&lt;&gt;"",IF(AND(Matches!J30&lt;&gt;"",Matches!K30&lt;&gt;""),Matches!J30,0),"")</f>
        <v>0</v>
      </c>
      <c r="DB29" s="194">
        <f>IF(CZ2&lt;&gt;"",IF(AND(Matches!J30&lt;&gt;"",Matches!K30&lt;&gt;""),Matches!K30,0),"")</f>
        <v>0</v>
      </c>
      <c r="DC29" s="194" t="str">
        <f>Matches!M30</f>
        <v>Ulsan HD</v>
      </c>
      <c r="DD29" s="194" t="str">
        <f>IF(AND(Matches!J30&lt;&gt;"",Matches!K30&lt;&gt;""),IF(DA29&gt;DB29,"W",IF(DA29=DB29,"D","L")),"")</f>
        <v/>
      </c>
      <c r="DE29" s="194" t="str">
        <f t="shared" si="0"/>
        <v/>
      </c>
      <c r="DN29" s="20" t="str">
        <f>Setup!E30</f>
        <v>KOR</v>
      </c>
      <c r="DP29" s="212"/>
      <c r="DQ29" s="199"/>
      <c r="DR29" s="200" t="str">
        <f t="shared" si="15"/>
        <v>Ulsan HD</v>
      </c>
      <c r="DS29" s="201" t="s">
        <v>626</v>
      </c>
      <c r="DT29" s="200"/>
      <c r="DU29" s="196">
        <v>23</v>
      </c>
      <c r="DV29" s="202">
        <v>-1</v>
      </c>
      <c r="DW29" s="20"/>
      <c r="DX29" s="9">
        <v>23</v>
      </c>
      <c r="DY29" s="203">
        <f t="shared" si="13"/>
        <v>45828.75</v>
      </c>
      <c r="DZ29" s="204">
        <f>EB29+1/24</f>
        <v>45828.75</v>
      </c>
      <c r="EA29" s="205">
        <f t="shared" si="14"/>
        <v>45828.75</v>
      </c>
      <c r="EB29" s="204">
        <v>45828.708333333336</v>
      </c>
      <c r="ED29" s="196" t="str">
        <f>INDEX(Language!A1:K117,MATCH(Setup!B30,Language!B1:B117,0),MATCH(Setup!C5,Language!A1:J1,0))</f>
        <v>Ulsan HD</v>
      </c>
    </row>
    <row r="30" spans="1:134" x14ac:dyDescent="0.25">
      <c r="CC30" s="194" t="str">
        <f>IF(BN29&lt;&gt;"",BN29,"")</f>
        <v/>
      </c>
      <c r="CY30" s="194">
        <v>28</v>
      </c>
      <c r="CZ30" s="194" t="str">
        <f>Matches!H31</f>
        <v>River Plate</v>
      </c>
      <c r="DA30" s="194">
        <f>IF(CZ2&lt;&gt;"",IF(AND(Matches!J31&lt;&gt;"",Matches!K31&lt;&gt;""),Matches!J31,0),"")</f>
        <v>0</v>
      </c>
      <c r="DB30" s="194">
        <f>IF(CZ2&lt;&gt;"",IF(AND(Matches!J31&lt;&gt;"",Matches!K31&lt;&gt;""),Matches!K31,0),"")</f>
        <v>0</v>
      </c>
      <c r="DC30" s="194" t="str">
        <f>Matches!M31</f>
        <v>Monterrey</v>
      </c>
      <c r="DD30" s="194" t="str">
        <f>IF(AND(Matches!J31&lt;&gt;"",Matches!K31&lt;&gt;""),IF(DA30&gt;DB30,"W",IF(DA30=DB30,"D","L")),"")</f>
        <v/>
      </c>
      <c r="DE30" s="194" t="str">
        <f t="shared" si="0"/>
        <v/>
      </c>
      <c r="DN30" s="20" t="str">
        <f>Setup!E31</f>
        <v>RSA</v>
      </c>
      <c r="DP30" s="212"/>
      <c r="DQ30" s="199"/>
      <c r="DR30" s="200" t="str">
        <f t="shared" si="15"/>
        <v>Mamelodi Sundowns</v>
      </c>
      <c r="DS30" s="201" t="s">
        <v>627</v>
      </c>
      <c r="DT30" s="200"/>
      <c r="DU30" s="196">
        <v>24</v>
      </c>
      <c r="DV30" s="202">
        <v>-0.5</v>
      </c>
      <c r="DW30" s="20"/>
      <c r="DX30" s="9">
        <v>24</v>
      </c>
      <c r="DY30" s="203">
        <f t="shared" si="13"/>
        <v>45828.875</v>
      </c>
      <c r="DZ30" s="204">
        <v>45828.875</v>
      </c>
      <c r="EA30" s="205">
        <f t="shared" si="14"/>
        <v>45828.875</v>
      </c>
      <c r="EB30" s="204">
        <v>45828.875</v>
      </c>
      <c r="ED30" s="196" t="str">
        <f>INDEX(Language!A1:K117,MATCH(Setup!B31,Language!B1:B117,0),MATCH(Setup!C5,Language!A1:J1,0))</f>
        <v>Mamelodi Sundowns</v>
      </c>
    </row>
    <row r="31" spans="1:134" ht="16.5" x14ac:dyDescent="0.25">
      <c r="A31" s="194">
        <f>VLOOKUP(B31,CW31:CX35,2,FALSE)</f>
        <v>1</v>
      </c>
      <c r="B31" s="195" t="str">
        <f>ED23</f>
        <v>River Plate</v>
      </c>
      <c r="C31" s="194">
        <f>SUMPRODUCT((CZ3:CZ54=B31)*(DD3:DD54="W"))+SUMPRODUCT((DC3:DC54=B31)*(DE3:DE54="W"))</f>
        <v>0</v>
      </c>
      <c r="D31" s="194">
        <f>SUMPRODUCT((CZ3:CZ54=B31)*(DD3:DD54="D"))+SUMPRODUCT((DC3:DC54=B31)*(DE3:DE54="D"))</f>
        <v>0</v>
      </c>
      <c r="E31" s="194">
        <f>SUMPRODUCT((CZ3:CZ54=B31)*(DD3:DD54="L"))+SUMPRODUCT((DC3:DC54=B31)*(DE3:DE54="L"))</f>
        <v>0</v>
      </c>
      <c r="F31" s="194">
        <f>SUMIF(CZ3:CZ72,B31,DA3:DA72)+SUMIF(DC3:DC72,B31,DB3:DB72)</f>
        <v>0</v>
      </c>
      <c r="G31" s="194">
        <f>SUMIF(DC3:DC72,B31,DA3:DA72)+SUMIF(CZ3:CZ72,B31,DB3:DB72)</f>
        <v>0</v>
      </c>
      <c r="H31" s="194">
        <f t="shared" ref="H31:H34" si="52">F31-G31+1000</f>
        <v>1000</v>
      </c>
      <c r="I31" s="194">
        <f t="shared" ref="I31:I34" si="53">C31*3+D31*1</f>
        <v>0</v>
      </c>
      <c r="J31" s="194">
        <f>IF(Setup!G24&lt;&gt;"",Setup!G24,25)</f>
        <v>25</v>
      </c>
      <c r="K31" s="194">
        <f>IF(COUNTIF(I31:I35,4)&lt;&gt;4,RANK(I31,I31:I35),I83)</f>
        <v>1</v>
      </c>
      <c r="M31" s="194">
        <f>SUMPRODUCT((K31:K34=K31)*(J31:J34&lt;J31))+K31</f>
        <v>4</v>
      </c>
      <c r="N31" s="195" t="str">
        <f>INDEX(B31:B35,MATCH(1,M31:M35,0),0)</f>
        <v>Urawa Red Diamonds</v>
      </c>
      <c r="O31" s="194">
        <f>INDEX(K31:K35,MATCH(N31,B31:B35,0),0)</f>
        <v>1</v>
      </c>
      <c r="P31" s="194" t="str">
        <f>IF(O32=1,N31,"")</f>
        <v>Urawa Red Diamonds</v>
      </c>
      <c r="Q31" s="194" t="str">
        <f>IF(O33=2,N32,"")</f>
        <v/>
      </c>
      <c r="R31" s="194" t="str">
        <f>IF(O34=3,N33,"")</f>
        <v/>
      </c>
      <c r="S31" s="194" t="str">
        <f>IF(O35=4,N34,"")</f>
        <v/>
      </c>
      <c r="U31" s="194" t="str">
        <f>IF(P31&lt;&gt;"",P31,"")</f>
        <v>Urawa Red Diamonds</v>
      </c>
      <c r="V31" s="194">
        <f>SUMPRODUCT((CZ3:CZ54=U31)*(DC3:DC54=U32)*(DD3:DD54="W"))+SUMPRODUCT((CZ3:CZ54=U31)*(DC3:DC54=U33)*(DD3:DD54="W"))+SUMPRODUCT((CZ3:CZ54=U31)*(DC3:DC54=U34)*(DD3:DD54="W"))+SUMPRODUCT((CZ3:CZ54=U31)*(DC3:DC54=U35)*(DD3:DD54="W"))+SUMPRODUCT((CZ3:CZ54=U32)*(DC3:DC54=U31)*(DE3:DE54="W"))+SUMPRODUCT((CZ3:CZ54=U33)*(DC3:DC54=U31)*(DE3:DE54="W"))+SUMPRODUCT((CZ3:CZ54=U34)*(DC3:DC54=U31)*(DE3:DE54="W"))+SUMPRODUCT((CZ3:CZ54=U35)*(DC3:DC54=U31)*(DE3:DE54="W"))</f>
        <v>0</v>
      </c>
      <c r="W31" s="194">
        <f>SUMPRODUCT((CZ3:CZ54=U31)*(DC3:DC54=U32)*(DD3:DD54="D"))+SUMPRODUCT((CZ3:CZ54=U31)*(DC3:DC54=U33)*(DD3:DD54="D"))+SUMPRODUCT((CZ3:CZ54=U31)*(DC3:DC54=U34)*(DD3:DD54="D"))+SUMPRODUCT((CZ3:CZ54=U31)*(DC3:DC54=U35)*(DD3:DD54="D"))+SUMPRODUCT((CZ3:CZ54=U32)*(DC3:DC54=U31)*(DD3:DD54="D"))+SUMPRODUCT((CZ3:CZ54=U33)*(DC3:DC54=U31)*(DD3:DD54="D"))+SUMPRODUCT((CZ3:CZ54=U34)*(DC3:DC54=U31)*(DD3:DD54="D"))+SUMPRODUCT((CZ3:CZ54=U35)*(DC3:DC54=U31)*(DD3:DD54="D"))</f>
        <v>0</v>
      </c>
      <c r="X31" s="194">
        <f>SUMPRODUCT((CZ3:CZ54=U31)*(DC3:DC54=U32)*(DD3:DD54="L"))+SUMPRODUCT((CZ3:CZ54=U31)*(DC3:DC54=U33)*(DD3:DD54="L"))+SUMPRODUCT((CZ3:CZ54=U31)*(DC3:DC54=U34)*(DD3:DD54="L"))+SUMPRODUCT((CZ3:CZ54=U31)*(DC3:DC54=U35)*(DD3:DD54="L"))+SUMPRODUCT((CZ3:CZ54=U32)*(DC3:DC54=U31)*(DE3:DE54="L"))+SUMPRODUCT((CZ3:CZ54=U33)*(DC3:DC54=U31)*(DE3:DE54="L"))+SUMPRODUCT((CZ3:CZ54=U34)*(DC3:DC54=U31)*(DE3:DE54="L"))+SUMPRODUCT((CZ3:CZ54=U35)*(DC3:DC54=U31)*(DE3:DE54="L"))</f>
        <v>0</v>
      </c>
      <c r="Y31" s="194">
        <f>SUMPRODUCT((CZ3:CZ54=U31)*(DC3:DC54=U32)*DA3:DA54)+SUMPRODUCT((CZ3:CZ54=U31)*(DC3:DC54=U33)*DA3:DA54)+SUMPRODUCT((CZ3:CZ54=U31)*(DC3:DC54=U34)*DA3:DA54)+SUMPRODUCT((CZ3:CZ54=U31)*(DC3:DC54=U35)*DA3:DA54)+SUMPRODUCT((CZ3:CZ54=U32)*(DC3:DC54=U31)*DB3:DB54)+SUMPRODUCT((CZ3:CZ54=U33)*(DC3:DC54=U31)*DB3:DB54)+SUMPRODUCT((CZ3:CZ54=U34)*(DC3:DC54=U31)*DB3:DB54)+SUMPRODUCT((CZ3:CZ54=U35)*(DC3:DC54=U31)*DB3:DB54)</f>
        <v>0</v>
      </c>
      <c r="Z31" s="194">
        <f>SUMPRODUCT((CZ3:CZ54=U31)*(DC3:DC54=U32)*DB3:DB54)+SUMPRODUCT((CZ3:CZ54=U31)*(DC3:DC54=U33)*DB3:DB54)+SUMPRODUCT((CZ3:CZ54=U31)*(DC3:DC54=U34)*DB3:DB54)+SUMPRODUCT((CZ3:CZ54=U31)*(DC3:DC54=U35)*DB3:DB54)+SUMPRODUCT((CZ3:CZ54=U32)*(DC3:DC54=U31)*DA3:DA54)+SUMPRODUCT((CZ3:CZ54=U33)*(DC3:DC54=U31)*DA3:DA54)+SUMPRODUCT((CZ3:CZ54=U34)*(DC3:DC54=U31)*DA3:DA54)+SUMPRODUCT((CZ3:CZ54=U35)*(DC3:DC54=U31)*DA3:DA54)</f>
        <v>0</v>
      </c>
      <c r="AA31" s="194">
        <f>Y31-Z31+1000</f>
        <v>1000</v>
      </c>
      <c r="AB31" s="194">
        <f t="shared" ref="AB31:AB34" si="54">IF(U31&lt;&gt;"",V31*3+W31*1,"")</f>
        <v>0</v>
      </c>
      <c r="AC31" s="194">
        <f>IF(U31&lt;&gt;"",VLOOKUP(U31,B4:H52,7,FALSE),"")</f>
        <v>1000</v>
      </c>
      <c r="AD31" s="194">
        <f>IF(U31&lt;&gt;"",VLOOKUP(U31,B4:H52,5,FALSE),"")</f>
        <v>0</v>
      </c>
      <c r="AE31" s="194">
        <f>IF(U31&lt;&gt;"",VLOOKUP(U31,B4:J52,9,FALSE),"")</f>
        <v>4</v>
      </c>
      <c r="AF31" s="194">
        <f t="shared" ref="AF31:AF34" si="55">AB31</f>
        <v>0</v>
      </c>
      <c r="AG31" s="194">
        <f>IF(U31&lt;&gt;"",RANK(AF31,AF31:AF35),"")</f>
        <v>1</v>
      </c>
      <c r="AH31" s="194">
        <f>IF(U31&lt;&gt;"",SUMPRODUCT((AF31:AF35=AF31)*(AA31:AA35&gt;AA31)),"")</f>
        <v>0</v>
      </c>
      <c r="AI31" s="194">
        <f>IF(U31&lt;&gt;"",SUMPRODUCT((AF31:AF35=AF31)*(AA31:AA35=AA31)*(Y31:Y35&gt;Y31)),"")</f>
        <v>0</v>
      </c>
      <c r="AJ31" s="194">
        <f>IF(U31&lt;&gt;"",SUMPRODUCT((AF31:AF35=AF31)*(AA31:AA35=AA31)*(Y31:Y35=Y31)*(AC31:AC35&gt;AC31)),"")</f>
        <v>0</v>
      </c>
      <c r="AK31" s="194">
        <f>IF(U31&lt;&gt;"",SUMPRODUCT((AF31:AF35=AF31)*(AA31:AA35=AA31)*(Y31:Y35=Y31)*(AC31:AC35=AC31)*(AD31:AD35&gt;AD31)),"")</f>
        <v>0</v>
      </c>
      <c r="AL31" s="194">
        <f>IF(U31&lt;&gt;"",SUMPRODUCT((AF31:AF35=AF31)*(AA31:AA35=AA31)*(Y31:Y35=Y31)*(AC31:AC35=AC31)*(AD31:AD35=AD31)*(AE31:AE35&gt;AE31)),"")</f>
        <v>3</v>
      </c>
      <c r="AM31" s="194">
        <f>IF(U31&lt;&gt;"",IF(AM83&lt;&gt;"",IF(T82=3,AM83,IF(T82=4,SUM(AG31:AL31),AM83+T82)),SUM(AG31:AL31)),"")</f>
        <v>4</v>
      </c>
      <c r="AN31" s="194" t="str">
        <f>IF(U31&lt;&gt;"",INDEX(U31:U35,MATCH(1,AM31:AM35,0),0),"")</f>
        <v>River Plate</v>
      </c>
      <c r="CW31" s="194" t="str">
        <f>IF(AN31&lt;&gt;"",AN31,N31)</f>
        <v>River Plate</v>
      </c>
      <c r="CX31" s="194">
        <v>1</v>
      </c>
      <c r="CY31" s="194">
        <v>29</v>
      </c>
      <c r="CZ31" s="194" t="str">
        <f>Matches!H32</f>
        <v>Juventus</v>
      </c>
      <c r="DA31" s="194">
        <f>IF(CZ2&lt;&gt;"",IF(AND(Matches!J32&lt;&gt;"",Matches!K32&lt;&gt;""),Matches!J32,0),"")</f>
        <v>0</v>
      </c>
      <c r="DB31" s="194">
        <f>IF(CZ2&lt;&gt;"",IF(AND(Matches!J32&lt;&gt;"",Matches!K32&lt;&gt;""),Matches!K32,0),"")</f>
        <v>0</v>
      </c>
      <c r="DC31" s="194" t="str">
        <f>Matches!M32</f>
        <v>Wydad AC</v>
      </c>
      <c r="DD31" s="194" t="str">
        <f>IF(AND(Matches!J32&lt;&gt;"",Matches!K32&lt;&gt;""),IF(DA31&gt;DB31,"W",IF(DA31=DB31,"D","L")),"")</f>
        <v/>
      </c>
      <c r="DE31" s="194" t="str">
        <f t="shared" si="0"/>
        <v/>
      </c>
      <c r="DN31" s="20" t="str">
        <f>Setup!E32</f>
        <v>ENG</v>
      </c>
      <c r="DP31" s="212" t="s">
        <v>90</v>
      </c>
      <c r="DQ31" s="199"/>
      <c r="DR31" s="200" t="str">
        <f t="shared" si="15"/>
        <v>Manchester City</v>
      </c>
      <c r="DS31" s="201" t="s">
        <v>628</v>
      </c>
      <c r="DT31" s="200"/>
      <c r="DU31" s="196">
        <v>25</v>
      </c>
      <c r="DV31" s="202">
        <v>0</v>
      </c>
      <c r="DW31" s="20"/>
      <c r="DX31" s="9">
        <v>25</v>
      </c>
      <c r="DY31" s="203">
        <f t="shared" si="13"/>
        <v>45829.5</v>
      </c>
      <c r="DZ31" s="204">
        <v>45829.5</v>
      </c>
      <c r="EA31" s="205">
        <f t="shared" si="14"/>
        <v>45829.5</v>
      </c>
      <c r="EB31" s="204">
        <v>45829.5</v>
      </c>
      <c r="EC31" s="196">
        <f>SUM(Matches!S29:S32)</f>
        <v>10</v>
      </c>
      <c r="ED31" s="196" t="str">
        <f>INDEX(Language!A1:K117,MATCH(Setup!B32,Language!B1:B117,0),MATCH(Setup!C5,Language!A1:J1,0))</f>
        <v>Manchester City</v>
      </c>
    </row>
    <row r="32" spans="1:134" x14ac:dyDescent="0.25">
      <c r="A32" s="194">
        <f>VLOOKUP(B32,CW31:CX35,2,FALSE)</f>
        <v>4</v>
      </c>
      <c r="B32" s="195" t="str">
        <f t="shared" ref="B32:B34" si="56">ED24</f>
        <v>Urawa Red Diamonds</v>
      </c>
      <c r="C32" s="194">
        <f>SUMPRODUCT((CZ3:CZ54=B32)*(DD3:DD54="W"))+SUMPRODUCT((DC3:DC54=B32)*(DE3:DE54="W"))</f>
        <v>0</v>
      </c>
      <c r="D32" s="194">
        <f>SUMPRODUCT((CZ3:CZ54=B32)*(DD3:DD54="D"))+SUMPRODUCT((DC3:DC54=B32)*(DE3:DE54="D"))</f>
        <v>0</v>
      </c>
      <c r="E32" s="194">
        <f>SUMPRODUCT((CZ3:CZ54=B32)*(DD3:DD54="L"))+SUMPRODUCT((DC3:DC54=B32)*(DE3:DE54="L"))</f>
        <v>0</v>
      </c>
      <c r="F32" s="194">
        <f>SUMIF(CZ3:CZ72,B32,DA3:DA72)+SUMIF(DC3:DC72,B32,DB3:DB72)</f>
        <v>0</v>
      </c>
      <c r="G32" s="194">
        <f>SUMIF(DC3:DC72,B32,DA3:DA72)+SUMIF(CZ3:CZ72,B32,DB3:DB72)</f>
        <v>0</v>
      </c>
      <c r="H32" s="194">
        <f t="shared" si="52"/>
        <v>1000</v>
      </c>
      <c r="I32" s="194">
        <f t="shared" si="53"/>
        <v>0</v>
      </c>
      <c r="J32" s="194">
        <f>IF(Setup!G25&lt;&gt;"",Setup!G25,4)</f>
        <v>4</v>
      </c>
      <c r="K32" s="194">
        <f>IF(COUNTIF(I31:I35,4)&lt;&gt;4,RANK(I32,I31:I35),I84)</f>
        <v>1</v>
      </c>
      <c r="M32" s="194">
        <f>SUMPRODUCT((K31:K34=K32)*(J31:J34&lt;J32))+K32</f>
        <v>1</v>
      </c>
      <c r="N32" s="195" t="str">
        <f>INDEX(B31:B35,MATCH(2,M31:M35,0),0)</f>
        <v>Monterrey</v>
      </c>
      <c r="O32" s="194">
        <f>INDEX(K31:K35,MATCH(N32,B31:B35,0),0)</f>
        <v>1</v>
      </c>
      <c r="P32" s="194" t="str">
        <f>IF(P31&lt;&gt;"",N32,"")</f>
        <v>Monterrey</v>
      </c>
      <c r="Q32" s="194" t="str">
        <f>IF(Q31&lt;&gt;"",N33,"")</f>
        <v/>
      </c>
      <c r="R32" s="194" t="str">
        <f>IF(R31&lt;&gt;"",N34,"")</f>
        <v/>
      </c>
      <c r="S32" s="194" t="str">
        <f>IF(S31&lt;&gt;"",N35,"")</f>
        <v/>
      </c>
      <c r="U32" s="194" t="str">
        <f t="shared" ref="U32:U34" si="57">IF(P32&lt;&gt;"",P32,"")</f>
        <v>Monterrey</v>
      </c>
      <c r="V32" s="194">
        <f>SUMPRODUCT((CZ3:CZ54=U32)*(DC3:DC54=U33)*(DD3:DD54="W"))+SUMPRODUCT((CZ3:CZ54=U32)*(DC3:DC54=U34)*(DD3:DD54="W"))+SUMPRODUCT((CZ3:CZ54=U32)*(DC3:DC54=U35)*(DD3:DD54="W"))+SUMPRODUCT((CZ3:CZ54=U32)*(DC3:DC54=U31)*(DD3:DD54="W"))+SUMPRODUCT((CZ3:CZ54=U33)*(DC3:DC54=U32)*(DE3:DE54="W"))+SUMPRODUCT((CZ3:CZ54=U34)*(DC3:DC54=U32)*(DE3:DE54="W"))+SUMPRODUCT((CZ3:CZ54=U35)*(DC3:DC54=U32)*(DE3:DE54="W"))+SUMPRODUCT((CZ3:CZ54=U31)*(DC3:DC54=U32)*(DE3:DE54="W"))</f>
        <v>0</v>
      </c>
      <c r="W32" s="194">
        <f>SUMPRODUCT((CZ3:CZ54=U32)*(DC3:DC54=U33)*(DD3:DD54="D"))+SUMPRODUCT((CZ3:CZ54=U32)*(DC3:DC54=U34)*(DD3:DD54="D"))+SUMPRODUCT((CZ3:CZ54=U32)*(DC3:DC54=U35)*(DD3:DD54="D"))+SUMPRODUCT((CZ3:CZ54=U32)*(DC3:DC54=U31)*(DD3:DD54="D"))+SUMPRODUCT((CZ3:CZ54=U33)*(DC3:DC54=U32)*(DD3:DD54="D"))+SUMPRODUCT((CZ3:CZ54=U34)*(DC3:DC54=U32)*(DD3:DD54="D"))+SUMPRODUCT((CZ3:CZ54=U35)*(DC3:DC54=U32)*(DD3:DD54="D"))+SUMPRODUCT((CZ3:CZ54=U31)*(DC3:DC54=U32)*(DD3:DD54="D"))</f>
        <v>0</v>
      </c>
      <c r="X32" s="194">
        <f>SUMPRODUCT((CZ3:CZ54=U32)*(DC3:DC54=U33)*(DD3:DD54="L"))+SUMPRODUCT((CZ3:CZ54=U32)*(DC3:DC54=U34)*(DD3:DD54="L"))+SUMPRODUCT((CZ3:CZ54=U32)*(DC3:DC54=U35)*(DD3:DD54="L"))+SUMPRODUCT((CZ3:CZ54=U32)*(DC3:DC54=U31)*(DD3:DD54="L"))+SUMPRODUCT((CZ3:CZ54=U33)*(DC3:DC54=U32)*(DE3:DE54="L"))+SUMPRODUCT((CZ3:CZ54=U34)*(DC3:DC54=U32)*(DE3:DE54="L"))+SUMPRODUCT((CZ3:CZ54=U35)*(DC3:DC54=U32)*(DE3:DE54="L"))+SUMPRODUCT((CZ3:CZ54=U31)*(DC3:DC54=U32)*(DE3:DE54="L"))</f>
        <v>0</v>
      </c>
      <c r="Y32" s="194">
        <f>SUMPRODUCT((CZ3:CZ54=U32)*(DC3:DC54=U33)*DA3:DA54)+SUMPRODUCT((CZ3:CZ54=U32)*(DC3:DC54=U34)*DA3:DA54)+SUMPRODUCT((CZ3:CZ54=U32)*(DC3:DC54=U35)*DA3:DA54)+SUMPRODUCT((CZ3:CZ54=U32)*(DC3:DC54=U31)*DA3:DA54)+SUMPRODUCT((CZ3:CZ54=U33)*(DC3:DC54=U32)*DB3:DB54)+SUMPRODUCT((CZ3:CZ54=U34)*(DC3:DC54=U32)*DB3:DB54)+SUMPRODUCT((CZ3:CZ54=U35)*(DC3:DC54=U32)*DB3:DB54)+SUMPRODUCT((CZ3:CZ54=U31)*(DC3:DC54=U32)*DB3:DB54)</f>
        <v>0</v>
      </c>
      <c r="Z32" s="194">
        <f>SUMPRODUCT((CZ3:CZ54=U32)*(DC3:DC54=U33)*DB3:DB54)+SUMPRODUCT((CZ3:CZ54=U32)*(DC3:DC54=U34)*DB3:DB54)+SUMPRODUCT((CZ3:CZ54=U32)*(DC3:DC54=U35)*DB3:DB54)+SUMPRODUCT((CZ3:CZ54=U32)*(DC3:DC54=U31)*DB3:DB54)+SUMPRODUCT((CZ3:CZ54=U33)*(DC3:DC54=U32)*DA3:DA54)+SUMPRODUCT((CZ3:CZ54=U34)*(DC3:DC54=U32)*DA3:DA54)+SUMPRODUCT((CZ3:CZ54=U35)*(DC3:DC54=U32)*DA3:DA54)+SUMPRODUCT((CZ3:CZ54=U31)*(DC3:DC54=U32)*DA3:DA54)</f>
        <v>0</v>
      </c>
      <c r="AA32" s="194">
        <f>Y32-Z32+1000</f>
        <v>1000</v>
      </c>
      <c r="AB32" s="194">
        <f t="shared" si="54"/>
        <v>0</v>
      </c>
      <c r="AC32" s="194">
        <f>IF(U32&lt;&gt;"",VLOOKUP(U32,B4:H52,7,FALSE),"")</f>
        <v>1000</v>
      </c>
      <c r="AD32" s="194">
        <f>IF(U32&lt;&gt;"",VLOOKUP(U32,B4:H52,5,FALSE),"")</f>
        <v>0</v>
      </c>
      <c r="AE32" s="194">
        <f>IF(U32&lt;&gt;"",VLOOKUP(U32,B4:J52,9,FALSE),"")</f>
        <v>12</v>
      </c>
      <c r="AF32" s="194">
        <f t="shared" si="55"/>
        <v>0</v>
      </c>
      <c r="AG32" s="194">
        <f>IF(U32&lt;&gt;"",RANK(AF32,AF31:AF35),"")</f>
        <v>1</v>
      </c>
      <c r="AH32" s="194">
        <f>IF(U32&lt;&gt;"",SUMPRODUCT((AF31:AF35=AF32)*(AA31:AA35&gt;AA32)),"")</f>
        <v>0</v>
      </c>
      <c r="AI32" s="194">
        <f>IF(U32&lt;&gt;"",SUMPRODUCT((AF31:AF35=AF32)*(AA31:AA35=AA32)*(Y31:Y35&gt;Y32)),"")</f>
        <v>0</v>
      </c>
      <c r="AJ32" s="194">
        <f>IF(U32&lt;&gt;"",SUMPRODUCT((AF31:AF35=AF32)*(AA31:AA35=AA32)*(Y31:Y35=Y32)*(AC31:AC35&gt;AC32)),"")</f>
        <v>0</v>
      </c>
      <c r="AK32" s="194">
        <f>IF(U32&lt;&gt;"",SUMPRODUCT((AF31:AF35=AF32)*(AA31:AA35=AA32)*(Y31:Y35=Y32)*(AC31:AC35=AC32)*(AD31:AD35&gt;AD32)),"")</f>
        <v>0</v>
      </c>
      <c r="AL32" s="194">
        <f>IF(U32&lt;&gt;"",SUMPRODUCT((AF31:AF35=AF32)*(AA31:AA35=AA32)*(Y31:Y35=Y32)*(AC31:AC35=AC32)*(AD31:AD35=AD32)*(AE31:AE35&gt;AE32)),"")</f>
        <v>2</v>
      </c>
      <c r="AM32" s="194">
        <f>IF(U32&lt;&gt;"",IF(AM84&lt;&gt;"",IF(T82=3,AM84,IF(T82=4,SUM(AG32:AL32),AM84+T82)),SUM(AG32:AL32)),"")</f>
        <v>3</v>
      </c>
      <c r="AN32" s="194" t="str">
        <f>IF(U32&lt;&gt;"",INDEX(U31:U35,MATCH(2,AM31:AM35,0),0),"")</f>
        <v>Internazionale</v>
      </c>
      <c r="AO32" s="194" t="str">
        <f>IF(Q31&lt;&gt;"",Q31,"")</f>
        <v/>
      </c>
      <c r="AP32" s="194">
        <f>SUMPRODUCT((CZ3:CZ54=AO32)*(DC3:DC54=AO33)*(DD3:DD54="W"))+SUMPRODUCT((CZ3:CZ54=AO32)*(DC3:DC54=AO34)*(DD3:DD54="W"))+SUMPRODUCT((CZ3:CZ54=AO32)*(DC3:DC54=AO35)*(DD3:DD54="W"))+SUMPRODUCT((CZ3:CZ54=AO33)*(DC3:DC54=AO32)*(DE3:DE54="W"))+SUMPRODUCT((CZ3:CZ54=AO34)*(DC3:DC54=AO32)*(DE3:DE54="W"))+SUMPRODUCT((CZ3:CZ54=AO35)*(DC3:DC54=AO32)*(DE3:DE54="W"))</f>
        <v>0</v>
      </c>
      <c r="AQ32" s="194">
        <f>SUMPRODUCT((CZ3:CZ54=AO32)*(DC3:DC54=AO33)*(DD3:DD54="D"))+SUMPRODUCT((CZ3:CZ54=AO32)*(DC3:DC54=AO34)*(DD3:DD54="D"))+SUMPRODUCT((CZ3:CZ54=AO32)*(DC3:DC54=AO35)*(DD3:DD54="D"))+SUMPRODUCT((CZ3:CZ54=AO33)*(DC3:DC54=AO32)*(DD3:DD54="D"))+SUMPRODUCT((CZ3:CZ54=AO34)*(DC3:DC54=AO32)*(DD3:DD54="D"))+SUMPRODUCT((CZ3:CZ54=AO35)*(DC3:DC54=AO32)*(DD3:DD54="D"))</f>
        <v>0</v>
      </c>
      <c r="AR32" s="194">
        <f>SUMPRODUCT((CZ3:CZ54=AO32)*(DC3:DC54=AO33)*(DD3:DD54="L"))+SUMPRODUCT((CZ3:CZ54=AO32)*(DC3:DC54=AO34)*(DD3:DD54="L"))+SUMPRODUCT((CZ3:CZ54=AO32)*(DC3:DC54=AO35)*(DD3:DD54="L"))+SUMPRODUCT((CZ3:CZ54=AO33)*(DC3:DC54=AO32)*(DE3:DE54="L"))+SUMPRODUCT((CZ3:CZ54=AO34)*(DC3:DC54=AO32)*(DE3:DE54="L"))+SUMPRODUCT((CZ3:CZ54=AO35)*(DC3:DC54=AO32)*(DE3:DE54="L"))</f>
        <v>0</v>
      </c>
      <c r="AS32" s="194">
        <f>SUMPRODUCT((CZ3:CZ54=AO32)*(DC3:DC54=AO33)*DA3:DA54)+SUMPRODUCT((CZ3:CZ54=AO32)*(DC3:DC54=AO34)*DA3:DA54)+SUMPRODUCT((CZ3:CZ54=AO32)*(DC3:DC54=AO35)*DA3:DA54)+SUMPRODUCT((CZ3:CZ54=AO32)*(DC3:DC54=AO31)*DA3:DA54)+SUMPRODUCT((CZ3:CZ54=AO33)*(DC3:DC54=AO32)*DB3:DB54)+SUMPRODUCT((CZ3:CZ54=AO34)*(DC3:DC54=AO32)*DB3:DB54)+SUMPRODUCT((CZ3:CZ54=AO35)*(DC3:DC54=AO32)*DB3:DB54)+SUMPRODUCT((CZ3:CZ54=AO31)*(DC3:DC54=AO32)*DB3:DB54)</f>
        <v>0</v>
      </c>
      <c r="AT32" s="194">
        <f>SUMPRODUCT((CZ3:CZ54=AO32)*(DC3:DC54=AO33)*DB3:DB54)+SUMPRODUCT((CZ3:CZ54=AO32)*(DC3:DC54=AO34)*DB3:DB54)+SUMPRODUCT((CZ3:CZ54=AO32)*(DC3:DC54=AO35)*DB3:DB54)+SUMPRODUCT((CZ3:CZ54=AO32)*(DC3:DC54=AO31)*DB3:DB54)+SUMPRODUCT((CZ3:CZ54=AO33)*(DC3:DC54=AO32)*DA3:DA54)+SUMPRODUCT((CZ3:CZ54=AO34)*(DC3:DC54=AO32)*DA3:DA54)+SUMPRODUCT((CZ3:CZ54=AO35)*(DC3:DC54=AO32)*DA3:DA54)+SUMPRODUCT((CZ3:CZ54=AO31)*(DC3:DC54=AO32)*DA3:DA54)</f>
        <v>0</v>
      </c>
      <c r="AU32" s="194">
        <f>AS32-AT32+1000</f>
        <v>1000</v>
      </c>
      <c r="AV32" s="194" t="str">
        <f t="shared" ref="AV32:AV34" si="58">IF(AO32&lt;&gt;"",AP32*3+AQ32*1,"")</f>
        <v/>
      </c>
      <c r="AW32" s="194" t="str">
        <f>IF(AO32&lt;&gt;"",VLOOKUP(AO32,B4:H52,7,FALSE),"")</f>
        <v/>
      </c>
      <c r="AX32" s="194" t="str">
        <f>IF(AO32&lt;&gt;"",VLOOKUP(AO32,B4:H52,5,FALSE),"")</f>
        <v/>
      </c>
      <c r="AY32" s="194" t="str">
        <f>IF(AO32&lt;&gt;"",VLOOKUP(AO32,B4:J52,9,FALSE),"")</f>
        <v/>
      </c>
      <c r="AZ32" s="194" t="str">
        <f t="shared" ref="AZ32:AZ34" si="59">AV32</f>
        <v/>
      </c>
      <c r="BA32" s="194" t="str">
        <f>IF(AO32&lt;&gt;"",RANK(AZ32,AZ31:AZ35),"")</f>
        <v/>
      </c>
      <c r="BB32" s="194" t="str">
        <f>IF(AO32&lt;&gt;"",SUMPRODUCT((AZ31:AZ35=AZ32)*(AU31:AU35&gt;AU32)),"")</f>
        <v/>
      </c>
      <c r="BC32" s="194" t="str">
        <f>IF(AO32&lt;&gt;"",SUMPRODUCT((AZ31:AZ35=AZ32)*(AU31:AU35=AU32)*(AS31:AS35&gt;AS32)),"")</f>
        <v/>
      </c>
      <c r="BD32" s="194" t="str">
        <f>IF(AO32&lt;&gt;"",SUMPRODUCT((AZ31:AZ35=AZ32)*(AU31:AU35=AU32)*(AS31:AS35=AS32)*(AW31:AW35&gt;AW32)),"")</f>
        <v/>
      </c>
      <c r="BE32" s="194" t="str">
        <f>IF(AO32&lt;&gt;"",SUMPRODUCT((AZ31:AZ35=AZ32)*(AU31:AU35=AU32)*(AS31:AS35=AS32)*(AW31:AW35=AW32)*(AX31:AX35&gt;AX32)),"")</f>
        <v/>
      </c>
      <c r="BF32" s="194" t="str">
        <f>IF(AO32&lt;&gt;"",SUMPRODUCT((AZ31:AZ35=AZ32)*(AU31:AU35=AU32)*(AS31:AS35=AS32)*(AW31:AW35=AW32)*(AX31:AX35=AX32)*(AY31:AY35&gt;AY32)),"")</f>
        <v/>
      </c>
      <c r="BG32" s="194" t="str">
        <f>IF(AO32&lt;&gt;"",IF(BG84&lt;&gt;"",IF(AN82=3,BG84,BG84+AN82),SUM(BA32:BF32)+1),"")</f>
        <v/>
      </c>
      <c r="BH32" s="194" t="str">
        <f>IF(AO32&lt;&gt;"",INDEX(AO32:AO35,MATCH(2,BG32:BG35,0),0),"")</f>
        <v/>
      </c>
      <c r="CW32" s="194" t="str">
        <f>IF(BH32&lt;&gt;"",BH32,IF(AN32&lt;&gt;"",AN32,N32))</f>
        <v>Internazionale</v>
      </c>
      <c r="CX32" s="194">
        <v>2</v>
      </c>
      <c r="CY32" s="194">
        <v>30</v>
      </c>
      <c r="CZ32" s="194" t="str">
        <f>Matches!H33</f>
        <v>Real Madrid</v>
      </c>
      <c r="DA32" s="194">
        <f>IF(CZ2&lt;&gt;"",IF(AND(Matches!J33&lt;&gt;"",Matches!K33&lt;&gt;""),Matches!J33,0),"")</f>
        <v>0</v>
      </c>
      <c r="DB32" s="194">
        <f>IF(CZ2&lt;&gt;"",IF(AND(Matches!J33&lt;&gt;"",Matches!K33&lt;&gt;""),Matches!K33,0),"")</f>
        <v>0</v>
      </c>
      <c r="DC32" s="194" t="str">
        <f>Matches!M33</f>
        <v>Pachuca</v>
      </c>
      <c r="DD32" s="194" t="str">
        <f>IF(AND(Matches!J33&lt;&gt;"",Matches!K33&lt;&gt;""),IF(DA32&gt;DB32,"W",IF(DA32=DB32,"D","L")),"")</f>
        <v/>
      </c>
      <c r="DE32" s="194" t="str">
        <f t="shared" si="0"/>
        <v/>
      </c>
      <c r="DN32" s="20" t="str">
        <f>Setup!E33</f>
        <v>MAR</v>
      </c>
      <c r="DP32" s="212"/>
      <c r="DQ32" s="199"/>
      <c r="DR32" s="200" t="str">
        <f t="shared" si="15"/>
        <v>Wydad AC</v>
      </c>
      <c r="DS32" s="201" t="s">
        <v>629</v>
      </c>
      <c r="DT32" s="200"/>
      <c r="DU32" s="196">
        <v>26</v>
      </c>
      <c r="DV32" s="202" t="s">
        <v>99</v>
      </c>
      <c r="DW32" s="20"/>
      <c r="DX32" s="9">
        <v>26</v>
      </c>
      <c r="DY32" s="203">
        <f t="shared" si="13"/>
        <v>45829.625</v>
      </c>
      <c r="DZ32" s="204">
        <f>EB32+3/24</f>
        <v>45829.625</v>
      </c>
      <c r="EA32" s="205">
        <f t="shared" si="14"/>
        <v>45829.625</v>
      </c>
      <c r="EB32" s="204">
        <v>45829.5</v>
      </c>
      <c r="ED32" s="196" t="str">
        <f>INDEX(Language!A1:K117,MATCH(Setup!B33,Language!B1:B117,0),MATCH(Setup!C5,Language!A1:J1,0))</f>
        <v>Wydad AC</v>
      </c>
    </row>
    <row r="33" spans="1:134" x14ac:dyDescent="0.25">
      <c r="A33" s="194">
        <f>VLOOKUP(B33,CW31:CX35,2,FALSE)</f>
        <v>3</v>
      </c>
      <c r="B33" s="195" t="str">
        <f t="shared" si="56"/>
        <v>Monterrey</v>
      </c>
      <c r="C33" s="194">
        <f>SUMPRODUCT((CZ3:CZ54=B33)*(DD3:DD54="W"))+SUMPRODUCT((DC3:DC54=B33)*(DE3:DE54="W"))</f>
        <v>0</v>
      </c>
      <c r="D33" s="194">
        <f>SUMPRODUCT((CZ3:CZ54=B33)*(DD3:DD54="D"))+SUMPRODUCT((DC3:DC54=B33)*(DE3:DE54="D"))</f>
        <v>0</v>
      </c>
      <c r="E33" s="194">
        <f>SUMPRODUCT((CZ3:CZ54=B33)*(DD3:DD54="L"))+SUMPRODUCT((DC3:DC54=B33)*(DE3:DE54="L"))</f>
        <v>0</v>
      </c>
      <c r="F33" s="194">
        <f>SUMIF(CZ3:CZ72,B33,DA3:DA72)+SUMIF(DC3:DC72,B33,DB3:DB72)</f>
        <v>0</v>
      </c>
      <c r="G33" s="194">
        <f>SUMIF(DC3:DC72,B33,DA3:DA72)+SUMIF(CZ3:CZ72,B33,DB3:DB72)</f>
        <v>0</v>
      </c>
      <c r="H33" s="194">
        <f t="shared" si="52"/>
        <v>1000</v>
      </c>
      <c r="I33" s="194">
        <f t="shared" si="53"/>
        <v>0</v>
      </c>
      <c r="J33" s="194">
        <f>IF(Setup!G26&lt;&gt;"",Setup!G26,12)</f>
        <v>12</v>
      </c>
      <c r="K33" s="194">
        <f>IF(COUNTIF(I31:I35,4)&lt;&gt;4,RANK(I33,I31:I35),I85)</f>
        <v>1</v>
      </c>
      <c r="M33" s="194">
        <f>SUMPRODUCT((K31:K34=K33)*(J31:J34&lt;J33))+K33</f>
        <v>2</v>
      </c>
      <c r="N33" s="195" t="str">
        <f>INDEX(B31:B35,MATCH(3,M31:M35,0),0)</f>
        <v>Internazionale</v>
      </c>
      <c r="O33" s="194">
        <f>INDEX(K31:K35,MATCH(N33,B31:B35,0),0)</f>
        <v>1</v>
      </c>
      <c r="P33" s="194" t="str">
        <f>IF(AND(P32&lt;&gt;"",O33=1),N33,"")</f>
        <v>Internazionale</v>
      </c>
      <c r="Q33" s="194" t="str">
        <f>IF(AND(Q32&lt;&gt;"",O34=2),N34,"")</f>
        <v/>
      </c>
      <c r="R33" s="194" t="str">
        <f>IF(AND(R32&lt;&gt;"",O35=3),N35,"")</f>
        <v/>
      </c>
      <c r="U33" s="194" t="str">
        <f t="shared" si="57"/>
        <v>Internazionale</v>
      </c>
      <c r="V33" s="194">
        <f>SUMPRODUCT((CZ3:CZ54=U33)*(DC3:DC54=U34)*(DD3:DD54="W"))+SUMPRODUCT((CZ3:CZ54=U33)*(DC3:DC54=U35)*(DD3:DD54="W"))+SUMPRODUCT((CZ3:CZ54=U33)*(DC3:DC54=U31)*(DD3:DD54="W"))+SUMPRODUCT((CZ3:CZ54=U33)*(DC3:DC54=U32)*(DD3:DD54="W"))+SUMPRODUCT((CZ3:CZ54=U34)*(DC3:DC54=U33)*(DE3:DE54="W"))+SUMPRODUCT((CZ3:CZ54=U35)*(DC3:DC54=U33)*(DE3:DE54="W"))+SUMPRODUCT((CZ3:CZ54=U31)*(DC3:DC54=U33)*(DE3:DE54="W"))+SUMPRODUCT((CZ3:CZ54=U32)*(DC3:DC54=U33)*(DE3:DE54="W"))</f>
        <v>0</v>
      </c>
      <c r="W33" s="194">
        <f>SUMPRODUCT((CZ3:CZ54=U33)*(DC3:DC54=U34)*(DD3:DD54="D"))+SUMPRODUCT((CZ3:CZ54=U33)*(DC3:DC54=U35)*(DD3:DD54="D"))+SUMPRODUCT((CZ3:CZ54=U33)*(DC3:DC54=U31)*(DD3:DD54="D"))+SUMPRODUCT((CZ3:CZ54=U33)*(DC3:DC54=U32)*(DD3:DD54="D"))+SUMPRODUCT((CZ3:CZ54=U34)*(DC3:DC54=U33)*(DD3:DD54="D"))+SUMPRODUCT((CZ3:CZ54=U35)*(DC3:DC54=U33)*(DD3:DD54="D"))+SUMPRODUCT((CZ3:CZ54=U31)*(DC3:DC54=U33)*(DD3:DD54="D"))+SUMPRODUCT((CZ3:CZ54=U32)*(DC3:DC54=U33)*(DD3:DD54="D"))</f>
        <v>0</v>
      </c>
      <c r="X33" s="194">
        <f>SUMPRODUCT((CZ3:CZ54=U33)*(DC3:DC54=U34)*(DD3:DD54="L"))+SUMPRODUCT((CZ3:CZ54=U33)*(DC3:DC54=U35)*(DD3:DD54="L"))+SUMPRODUCT((CZ3:CZ54=U33)*(DC3:DC54=U31)*(DD3:DD54="L"))+SUMPRODUCT((CZ3:CZ54=U33)*(DC3:DC54=U32)*(DD3:DD54="L"))+SUMPRODUCT((CZ3:CZ54=U34)*(DC3:DC54=U33)*(DE3:DE54="L"))+SUMPRODUCT((CZ3:CZ54=U35)*(DC3:DC54=U33)*(DE3:DE54="L"))+SUMPRODUCT((CZ3:CZ54=U31)*(DC3:DC54=U33)*(DE3:DE54="L"))+SUMPRODUCT((CZ3:CZ54=U32)*(DC3:DC54=U33)*(DE3:DE54="L"))</f>
        <v>0</v>
      </c>
      <c r="Y33" s="194">
        <f>SUMPRODUCT((CZ3:CZ54=U33)*(DC3:DC54=U34)*DA3:DA54)+SUMPRODUCT((CZ3:CZ54=U33)*(DC3:DC54=U35)*DA3:DA54)+SUMPRODUCT((CZ3:CZ54=U33)*(DC3:DC54=U31)*DA3:DA54)+SUMPRODUCT((CZ3:CZ54=U33)*(DC3:DC54=U32)*DA3:DA54)+SUMPRODUCT((CZ3:CZ54=U34)*(DC3:DC54=U33)*DB3:DB54)+SUMPRODUCT((CZ3:CZ54=U35)*(DC3:DC54=U33)*DB3:DB54)+SUMPRODUCT((CZ3:CZ54=U31)*(DC3:DC54=U33)*DB3:DB54)+SUMPRODUCT((CZ3:CZ54=U32)*(DC3:DC54=U33)*DB3:DB54)</f>
        <v>0</v>
      </c>
      <c r="Z33" s="194">
        <f>SUMPRODUCT((CZ3:CZ54=U33)*(DC3:DC54=U34)*DB3:DB54)+SUMPRODUCT((CZ3:CZ54=U33)*(DC3:DC54=U35)*DB3:DB54)+SUMPRODUCT((CZ3:CZ54=U33)*(DC3:DC54=U31)*DB3:DB54)+SUMPRODUCT((CZ3:CZ54=U33)*(DC3:DC54=U32)*DB3:DB54)+SUMPRODUCT((CZ3:CZ54=U34)*(DC3:DC54=U33)*DA3:DA54)+SUMPRODUCT((CZ3:CZ54=U35)*(DC3:DC54=U33)*DA3:DA54)+SUMPRODUCT((CZ3:CZ54=U31)*(DC3:DC54=U33)*DA3:DA54)+SUMPRODUCT((CZ3:CZ54=U32)*(DC3:DC54=U33)*DA3:DA54)</f>
        <v>0</v>
      </c>
      <c r="AA33" s="194">
        <f>Y33-Z33+1000</f>
        <v>1000</v>
      </c>
      <c r="AB33" s="194">
        <f t="shared" si="54"/>
        <v>0</v>
      </c>
      <c r="AC33" s="194">
        <f>IF(U33&lt;&gt;"",VLOOKUP(U33,B4:H52,7,FALSE),"")</f>
        <v>1000</v>
      </c>
      <c r="AD33" s="194">
        <f>IF(U33&lt;&gt;"",VLOOKUP(U33,B4:H52,5,FALSE),"")</f>
        <v>0</v>
      </c>
      <c r="AE33" s="194">
        <f>IF(U33&lt;&gt;"",VLOOKUP(U33,B4:J52,9,FALSE),"")</f>
        <v>21</v>
      </c>
      <c r="AF33" s="194">
        <f t="shared" si="55"/>
        <v>0</v>
      </c>
      <c r="AG33" s="194">
        <f>IF(U33&lt;&gt;"",RANK(AF33,AF31:AF35),"")</f>
        <v>1</v>
      </c>
      <c r="AH33" s="194">
        <f>IF(U33&lt;&gt;"",SUMPRODUCT((AF31:AF35=AF33)*(AA31:AA35&gt;AA33)),"")</f>
        <v>0</v>
      </c>
      <c r="AI33" s="194">
        <f>IF(U33&lt;&gt;"",SUMPRODUCT((AF31:AF35=AF33)*(AA31:AA35=AA33)*(Y31:Y35&gt;Y33)),"")</f>
        <v>0</v>
      </c>
      <c r="AJ33" s="194">
        <f>IF(U33&lt;&gt;"",SUMPRODUCT((AF31:AF35=AF33)*(AA31:AA35=AA33)*(Y31:Y35=Y33)*(AC31:AC35&gt;AC33)),"")</f>
        <v>0</v>
      </c>
      <c r="AK33" s="194">
        <f>IF(U33&lt;&gt;"",SUMPRODUCT((AF31:AF35=AF33)*(AA31:AA35=AA33)*(Y31:Y35=Y33)*(AC31:AC35=AC33)*(AD31:AD35&gt;AD33)),"")</f>
        <v>0</v>
      </c>
      <c r="AL33" s="194">
        <f>IF(U33&lt;&gt;"",SUMPRODUCT((AF31:AF35=AF33)*(AA31:AA35=AA33)*(Y31:Y35=Y33)*(AC31:AC35=AC33)*(AD31:AD35=AD33)*(AE31:AE35&gt;AE33)),"")</f>
        <v>1</v>
      </c>
      <c r="AM33" s="194">
        <f>IF(U33&lt;&gt;"",IF(AM85&lt;&gt;"",IF(T82=3,AM85,IF(T82=4,SUM(AG33:AL33),AM85+T82)),SUM(AG33:AL33)),"")</f>
        <v>2</v>
      </c>
      <c r="AN33" s="194" t="str">
        <f>IF(U33&lt;&gt;"",INDEX(U31:U35,MATCH(3,AM31:AM35,0),0),"")</f>
        <v>Monterrey</v>
      </c>
      <c r="AO33" s="194" t="str">
        <f>IF(Q32&lt;&gt;"",Q32,"")</f>
        <v/>
      </c>
      <c r="AP33" s="194">
        <f>SUMPRODUCT((CZ3:CZ54=AO33)*(DC3:DC54=AO34)*(DD3:DD54="W"))+SUMPRODUCT((CZ3:CZ54=AO33)*(DC3:DC54=AO35)*(DD3:DD54="W"))+SUMPRODUCT((CZ3:CZ54=AO33)*(DC3:DC54=AO32)*(DD3:DD54="W"))+SUMPRODUCT((CZ3:CZ54=AO34)*(DC3:DC54=AO33)*(DE3:DE54="W"))+SUMPRODUCT((CZ3:CZ54=AO35)*(DC3:DC54=AO33)*(DE3:DE54="W"))+SUMPRODUCT((CZ3:CZ54=AO32)*(DC3:DC54=AO33)*(DE3:DE54="W"))</f>
        <v>0</v>
      </c>
      <c r="AQ33" s="194">
        <f>SUMPRODUCT((CZ3:CZ54=AO33)*(DC3:DC54=AO34)*(DD3:DD54="D"))+SUMPRODUCT((CZ3:CZ54=AO33)*(DC3:DC54=AO35)*(DD3:DD54="D"))+SUMPRODUCT((CZ3:CZ54=AO33)*(DC3:DC54=AO32)*(DD3:DD54="D"))+SUMPRODUCT((CZ3:CZ54=AO34)*(DC3:DC54=AO33)*(DD3:DD54="D"))+SUMPRODUCT((CZ3:CZ54=AO35)*(DC3:DC54=AO33)*(DD3:DD54="D"))+SUMPRODUCT((CZ3:CZ54=AO32)*(DC3:DC54=AO33)*(DD3:DD54="D"))</f>
        <v>0</v>
      </c>
      <c r="AR33" s="194">
        <f>SUMPRODUCT((CZ3:CZ54=AO33)*(DC3:DC54=AO34)*(DD3:DD54="L"))+SUMPRODUCT((CZ3:CZ54=AO33)*(DC3:DC54=AO35)*(DD3:DD54="L"))+SUMPRODUCT((CZ3:CZ54=AO33)*(DC3:DC54=AO32)*(DD3:DD54="L"))+SUMPRODUCT((CZ3:CZ54=AO34)*(DC3:DC54=AO33)*(DE3:DE54="L"))+SUMPRODUCT((CZ3:CZ54=AO35)*(DC3:DC54=AO33)*(DE3:DE54="L"))+SUMPRODUCT((CZ3:CZ54=AO32)*(DC3:DC54=AO33)*(DE3:DE54="L"))</f>
        <v>0</v>
      </c>
      <c r="AS33" s="194">
        <f>SUMPRODUCT((CZ3:CZ54=AO33)*(DC3:DC54=AO34)*DA3:DA54)+SUMPRODUCT((CZ3:CZ54=AO33)*(DC3:DC54=AO35)*DA3:DA54)+SUMPRODUCT((CZ3:CZ54=AO33)*(DC3:DC54=AO31)*DA3:DA54)+SUMPRODUCT((CZ3:CZ54=AO33)*(DC3:DC54=AO32)*DA3:DA54)+SUMPRODUCT((CZ3:CZ54=AO34)*(DC3:DC54=AO33)*DB3:DB54)+SUMPRODUCT((CZ3:CZ54=AO35)*(DC3:DC54=AO33)*DB3:DB54)+SUMPRODUCT((CZ3:CZ54=AO31)*(DC3:DC54=AO33)*DB3:DB54)+SUMPRODUCT((CZ3:CZ54=AO32)*(DC3:DC54=AO33)*DB3:DB54)</f>
        <v>0</v>
      </c>
      <c r="AT33" s="194">
        <f>SUMPRODUCT((CZ3:CZ54=AO33)*(DC3:DC54=AO34)*DB3:DB54)+SUMPRODUCT((CZ3:CZ54=AO33)*(DC3:DC54=AO35)*DB3:DB54)+SUMPRODUCT((CZ3:CZ54=AO33)*(DC3:DC54=AO31)*DB3:DB54)+SUMPRODUCT((CZ3:CZ54=AO33)*(DC3:DC54=AO32)*DB3:DB54)+SUMPRODUCT((CZ3:CZ54=AO34)*(DC3:DC54=AO33)*DA3:DA54)+SUMPRODUCT((CZ3:CZ54=AO35)*(DC3:DC54=AO33)*DA3:DA54)+SUMPRODUCT((CZ3:CZ54=AO31)*(DC3:DC54=AO33)*DA3:DA54)+SUMPRODUCT((CZ3:CZ54=AO32)*(DC3:DC54=AO33)*DA3:DA54)</f>
        <v>0</v>
      </c>
      <c r="AU33" s="194">
        <f>AS33-AT33+1000</f>
        <v>1000</v>
      </c>
      <c r="AV33" s="194" t="str">
        <f t="shared" si="58"/>
        <v/>
      </c>
      <c r="AW33" s="194" t="str">
        <f>IF(AO33&lt;&gt;"",VLOOKUP(AO33,B4:H52,7,FALSE),"")</f>
        <v/>
      </c>
      <c r="AX33" s="194" t="str">
        <f>IF(AO33&lt;&gt;"",VLOOKUP(AO33,B4:H52,5,FALSE),"")</f>
        <v/>
      </c>
      <c r="AY33" s="194" t="str">
        <f>IF(AO33&lt;&gt;"",VLOOKUP(AO33,B4:J52,9,FALSE),"")</f>
        <v/>
      </c>
      <c r="AZ33" s="194" t="str">
        <f t="shared" si="59"/>
        <v/>
      </c>
      <c r="BA33" s="194" t="str">
        <f>IF(AO33&lt;&gt;"",RANK(AZ33,AZ31:AZ35),"")</f>
        <v/>
      </c>
      <c r="BB33" s="194" t="str">
        <f>IF(AO33&lt;&gt;"",SUMPRODUCT((AZ31:AZ35=AZ33)*(AU31:AU35&gt;AU33)),"")</f>
        <v/>
      </c>
      <c r="BC33" s="194" t="str">
        <f>IF(AO33&lt;&gt;"",SUMPRODUCT((AZ31:AZ35=AZ33)*(AU31:AU35=AU33)*(AS31:AS35&gt;AS33)),"")</f>
        <v/>
      </c>
      <c r="BD33" s="194" t="str">
        <f>IF(AO33&lt;&gt;"",SUMPRODUCT((AZ31:AZ35=AZ33)*(AU31:AU35=AU33)*(AS31:AS35=AS33)*(AW31:AW35&gt;AW33)),"")</f>
        <v/>
      </c>
      <c r="BE33" s="194" t="str">
        <f>IF(AO33&lt;&gt;"",SUMPRODUCT((AZ31:AZ35=AZ33)*(AU31:AU35=AU33)*(AS31:AS35=AS33)*(AW31:AW35=AW33)*(AX31:AX35&gt;AX33)),"")</f>
        <v/>
      </c>
      <c r="BF33" s="194" t="str">
        <f>IF(AO33&lt;&gt;"",SUMPRODUCT((AZ31:AZ35=AZ33)*(AU31:AU35=AU33)*(AS31:AS35=AS33)*(AW31:AW35=AW33)*(AX31:AX35=AX33)*(AY31:AY35&gt;AY33)),"")</f>
        <v/>
      </c>
      <c r="BG33" s="194" t="str">
        <f>IF(AO33&lt;&gt;"",IF(BG85&lt;&gt;"",IF(AN82=3,BG85,BG85+AN82),SUM(BA33:BF33)+1),"")</f>
        <v/>
      </c>
      <c r="BH33" s="194" t="str">
        <f>IF(AO33&lt;&gt;"",INDEX(AO32:AO35,MATCH(3,BG32:BG35,0),0),"")</f>
        <v/>
      </c>
      <c r="BI33" s="194" t="str">
        <f>IF(R31&lt;&gt;"",R31,"")</f>
        <v/>
      </c>
      <c r="BJ33" s="194">
        <f>SUMPRODUCT((CZ3:CZ54=BI33)*(DC3:DC54=BI34)*(DD3:DD54="W"))+SUMPRODUCT((CZ3:CZ54=BI33)*(DC3:DC54=BI35)*(DD3:DD54="W"))+SUMPRODUCT((CZ3:CZ54=BI33)*(DC3:DC54=BI36)*(DD3:DD54="W"))+SUMPRODUCT((CZ3:CZ54=BI34)*(DC3:DC54=BI33)*(DE3:DE54="W"))+SUMPRODUCT((CZ3:CZ54=BI35)*(DC3:DC54=BI33)*(DE3:DE54="W"))+SUMPRODUCT((CZ3:CZ54=BI36)*(DC3:DC54=BI33)*(DE3:DE54="W"))</f>
        <v>0</v>
      </c>
      <c r="BK33" s="194">
        <f>SUMPRODUCT((CZ3:CZ54=BI33)*(DC3:DC54=BI34)*(DD3:DD54="D"))+SUMPRODUCT((CZ3:CZ54=BI33)*(DC3:DC54=BI35)*(DD3:DD54="D"))+SUMPRODUCT((CZ3:CZ54=BI33)*(DC3:DC54=BI36)*(DD3:DD54="D"))+SUMPRODUCT((CZ3:CZ54=BI34)*(DC3:DC54=BI33)*(DD3:DD54="D"))+SUMPRODUCT((CZ3:CZ54=BI35)*(DC3:DC54=BI33)*(DD3:DD54="D"))+SUMPRODUCT((CZ3:CZ54=BI36)*(DC3:DC54=BI33)*(DD3:DD54="D"))</f>
        <v>0</v>
      </c>
      <c r="BL33" s="194">
        <f>SUMPRODUCT((CZ3:CZ54=BI33)*(DC3:DC54=BI34)*(DD3:DD54="L"))+SUMPRODUCT((CZ3:CZ54=BI33)*(DC3:DC54=BI35)*(DD3:DD54="L"))+SUMPRODUCT((CZ3:CZ54=BI33)*(DC3:DC54=BI36)*(DD3:DD54="L"))+SUMPRODUCT((CZ3:CZ54=BI34)*(DC3:DC54=BI33)*(DE3:DE54="L"))+SUMPRODUCT((CZ3:CZ54=BI35)*(DC3:DC54=BI33)*(DE3:DE54="L"))+SUMPRODUCT((CZ3:CZ54=BI36)*(DC3:DC54=BI33)*(DE3:DE54="L"))</f>
        <v>0</v>
      </c>
      <c r="BM33" s="194">
        <f>SUMPRODUCT((CZ3:CZ54=BI33)*(DC3:DC54=BI34)*DA3:DA54)+SUMPRODUCT((CZ3:CZ54=BI33)*(DC3:DC54=BI35)*DA3:DA54)+SUMPRODUCT((CZ3:CZ54=BI33)*(DC3:DC54=BI31)*DA3:DA54)+SUMPRODUCT((CZ3:CZ54=BI33)*(DC3:DC54=BI32)*DA3:DA54)+SUMPRODUCT((CZ3:CZ54=BI34)*(DC3:DC54=BI33)*DB3:DB54)+SUMPRODUCT((CZ3:CZ54=BI35)*(DC3:DC54=BI33)*DB3:DB54)+SUMPRODUCT((CZ3:CZ54=BI31)*(DC3:DC54=BI33)*DB3:DB54)+SUMPRODUCT((CZ3:CZ54=BI32)*(DC3:DC54=BI33)*DB3:DB54)</f>
        <v>0</v>
      </c>
      <c r="BN33" s="194">
        <f>SUMPRODUCT((CZ3:CZ54=BI33)*(DC3:DC54=BI34)*DB3:DB54)+SUMPRODUCT((CZ3:CZ54=BI33)*(DC3:DC54=BI35)*DB3:DB54)+SUMPRODUCT((CZ3:CZ54=BI33)*(DC3:DC54=BI31)*DB3:DB54)+SUMPRODUCT((CZ3:CZ54=BI33)*(DC3:DC54=BI32)*DB3:DB54)+SUMPRODUCT((CZ3:CZ54=BI34)*(DC3:DC54=BI33)*DA3:DA54)+SUMPRODUCT((CZ3:CZ54=BI35)*(DC3:DC54=BI33)*DA3:DA54)+SUMPRODUCT((CZ3:CZ54=BI31)*(DC3:DC54=BI33)*DA3:DA54)+SUMPRODUCT((CZ3:CZ54=BI32)*(DC3:DC54=BI33)*DA3:DA54)</f>
        <v>0</v>
      </c>
      <c r="BO33" s="194">
        <f>BM33-BN33+1000</f>
        <v>1000</v>
      </c>
      <c r="BP33" s="194" t="str">
        <f t="shared" ref="BP33:BP34" si="60">IF(BI33&lt;&gt;"",BJ33*3+BK33*1,"")</f>
        <v/>
      </c>
      <c r="BQ33" s="194" t="str">
        <f>IF(BI33&lt;&gt;"",VLOOKUP(BI33,B4:H52,7,FALSE),"")</f>
        <v/>
      </c>
      <c r="BR33" s="194" t="str">
        <f>IF(BI33&lt;&gt;"",VLOOKUP(BI33,B4:H52,5,FALSE),"")</f>
        <v/>
      </c>
      <c r="BS33" s="194" t="str">
        <f>IF(BI33&lt;&gt;"",VLOOKUP(BI33,B4:J52,9,FALSE),"")</f>
        <v/>
      </c>
      <c r="BT33" s="194" t="str">
        <f t="shared" ref="BT33:BT34" si="61">BP33</f>
        <v/>
      </c>
      <c r="BU33" s="194" t="str">
        <f>IF(BI33&lt;&gt;"",RANK(BT33,BT32:BT35),"")</f>
        <v/>
      </c>
      <c r="BV33" s="194" t="str">
        <f>IF(BI33&lt;&gt;"",SUMPRODUCT((BT31:BT35=BT33)*(BO31:BO35&gt;BO33)),"")</f>
        <v/>
      </c>
      <c r="BW33" s="194" t="str">
        <f>IF(BI33&lt;&gt;"",SUMPRODUCT((BT31:BT35=BT33)*(BO31:BO35=BO33)*(BM31:BM35&gt;BM33)),"")</f>
        <v/>
      </c>
      <c r="BX33" s="194" t="str">
        <f>IF(BI33&lt;&gt;"",SUMPRODUCT((BT31:BT35=BT33)*(BO31:BO35=BO33)*(BM31:BM35=BM33)*(BQ31:BQ35&gt;BQ33)),"")</f>
        <v/>
      </c>
      <c r="BY33" s="194" t="str">
        <f>IF(BI33&lt;&gt;"",SUMPRODUCT((BT31:BT35=BT33)*(BO31:BO35=BO33)*(BM31:BM35=BM33)*(BQ31:BQ35=BQ33)*(BR31:BR35&gt;BR33)),"")</f>
        <v/>
      </c>
      <c r="BZ33" s="194" t="str">
        <f>IF(BI33&lt;&gt;"",SUMPRODUCT((BT31:BT35=BT33)*(BO31:BO35=BO33)*(BM31:BM35=BM33)*(BQ31:BQ35=BQ33)*(BR31:BR35=BR33)*(BS31:BS35&gt;BS33)),"")</f>
        <v/>
      </c>
      <c r="CA33" s="194" t="str">
        <f>IF(BI33&lt;&gt;"",SUM(BU33:BZ33)+2,"")</f>
        <v/>
      </c>
      <c r="CB33" s="194" t="str">
        <f>IF(BI33&lt;&gt;"",INDEX(BI33:BI35,MATCH(3,CA33:CA35,0),0),"")</f>
        <v/>
      </c>
      <c r="CW33" s="194" t="str">
        <f>IF(CB33&lt;&gt;"",CB33,IF(BH33&lt;&gt;"",BH33,IF(AN33&lt;&gt;"",AN33,N33)))</f>
        <v>Monterrey</v>
      </c>
      <c r="CX33" s="194">
        <v>3</v>
      </c>
      <c r="CY33" s="194">
        <v>31</v>
      </c>
      <c r="CZ33" s="194" t="str">
        <f>Matches!H34</f>
        <v>Salzburg</v>
      </c>
      <c r="DA33" s="194">
        <f>IF(CZ2&lt;&gt;"",IF(AND(Matches!J34&lt;&gt;"",Matches!K34&lt;&gt;""),Matches!J34,0),"")</f>
        <v>0</v>
      </c>
      <c r="DB33" s="194">
        <f>IF(CZ2&lt;&gt;"",IF(AND(Matches!J34&lt;&gt;"",Matches!K34&lt;&gt;""),Matches!K34,0),"")</f>
        <v>0</v>
      </c>
      <c r="DC33" s="194" t="str">
        <f>Matches!M34</f>
        <v>Al Hilal</v>
      </c>
      <c r="DD33" s="194" t="str">
        <f>IF(AND(Matches!J34&lt;&gt;"",Matches!K34&lt;&gt;""),IF(DA33&gt;DB33,"W",IF(DA33=DB33,"D","L")),"")</f>
        <v/>
      </c>
      <c r="DE33" s="194" t="str">
        <f t="shared" si="0"/>
        <v/>
      </c>
      <c r="DN33" s="20" t="str">
        <f>Setup!E34</f>
        <v>UAE</v>
      </c>
      <c r="DP33" s="212"/>
      <c r="DQ33" s="199"/>
      <c r="DR33" s="200" t="str">
        <f t="shared" si="15"/>
        <v>Al Ain</v>
      </c>
      <c r="DS33" s="201" t="s">
        <v>630</v>
      </c>
      <c r="DT33" s="200"/>
      <c r="DU33" s="196">
        <v>27</v>
      </c>
      <c r="DV33" s="202" t="s">
        <v>100</v>
      </c>
      <c r="DW33" s="20"/>
      <c r="DX33" s="9">
        <v>27</v>
      </c>
      <c r="DY33" s="203">
        <f t="shared" si="13"/>
        <v>45829.75</v>
      </c>
      <c r="DZ33" s="204">
        <v>45829.75</v>
      </c>
      <c r="EA33" s="205">
        <f t="shared" si="14"/>
        <v>45829.75</v>
      </c>
      <c r="EB33" s="204">
        <v>45829.75</v>
      </c>
      <c r="ED33" s="196" t="str">
        <f>INDEX(Language!A1:K117,MATCH(Setup!B34,Language!B1:B117,0),MATCH(Setup!C5,Language!A1:J1,0))</f>
        <v>Al Ain</v>
      </c>
    </row>
    <row r="34" spans="1:134" x14ac:dyDescent="0.25">
      <c r="A34" s="194">
        <f>VLOOKUP(B34,CW31:CX35,2,FALSE)</f>
        <v>2</v>
      </c>
      <c r="B34" s="195" t="str">
        <f t="shared" si="56"/>
        <v>Internazionale</v>
      </c>
      <c r="C34" s="194">
        <f>SUMPRODUCT((CZ3:CZ54=B34)*(DD3:DD54="W"))+SUMPRODUCT((DC3:DC54=B34)*(DE3:DE54="W"))</f>
        <v>0</v>
      </c>
      <c r="D34" s="194">
        <f>SUMPRODUCT((CZ3:CZ54=B34)*(DD3:DD54="D"))+SUMPRODUCT((DC3:DC54=B34)*(DE3:DE54="D"))</f>
        <v>0</v>
      </c>
      <c r="E34" s="194">
        <f>SUMPRODUCT((CZ3:CZ54=B34)*(DD3:DD54="L"))+SUMPRODUCT((DC3:DC54=B34)*(DE3:DE54="L"))</f>
        <v>0</v>
      </c>
      <c r="F34" s="194">
        <f>SUMIF(CZ3:CZ72,B34,DA3:DA72)+SUMIF(DC3:DC72,B34,DB3:DB72)</f>
        <v>0</v>
      </c>
      <c r="G34" s="194">
        <f>SUMIF(DC3:DC72,B34,DA3:DA72)+SUMIF(CZ3:CZ72,B34,DB3:DB72)</f>
        <v>0</v>
      </c>
      <c r="H34" s="194">
        <f t="shared" si="52"/>
        <v>1000</v>
      </c>
      <c r="I34" s="194">
        <f t="shared" si="53"/>
        <v>0</v>
      </c>
      <c r="J34" s="194">
        <f>IF(Setup!G27&lt;&gt;"",Setup!G27,21)</f>
        <v>21</v>
      </c>
      <c r="K34" s="194">
        <f>IF(COUNTIF(I31:I35,4)&lt;&gt;4,RANK(I34,I31:I35),I86)</f>
        <v>1</v>
      </c>
      <c r="M34" s="194">
        <f>SUMPRODUCT((K31:K34=K34)*(J31:J34&lt;J34))+K34</f>
        <v>3</v>
      </c>
      <c r="N34" s="195" t="str">
        <f>INDEX(B31:B35,MATCH(4,M31:M35,0),0)</f>
        <v>River Plate</v>
      </c>
      <c r="O34" s="194">
        <f>INDEX(K31:K35,MATCH(N34,B31:B35,0),0)</f>
        <v>1</v>
      </c>
      <c r="P34" s="194" t="str">
        <f>IF(AND(P33&lt;&gt;"",O34=1),N34,"")</f>
        <v>River Plate</v>
      </c>
      <c r="Q34" s="194" t="str">
        <f>IF(AND(Q33&lt;&gt;"",O35=2),N35,"")</f>
        <v/>
      </c>
      <c r="U34" s="194" t="str">
        <f t="shared" si="57"/>
        <v>River Plate</v>
      </c>
      <c r="V34" s="194">
        <f>SUMPRODUCT((CZ3:CZ54=U34)*(DC3:DC54=U35)*(DD3:DD54="W"))+SUMPRODUCT((CZ3:CZ54=U34)*(DC3:DC54=U31)*(DD3:DD54="W"))+SUMPRODUCT((CZ3:CZ54=U34)*(DC3:DC54=U32)*(DD3:DD54="W"))+SUMPRODUCT((CZ3:CZ54=U34)*(DC3:DC54=U33)*(DD3:DD54="W"))+SUMPRODUCT((CZ3:CZ54=U35)*(DC3:DC54=U34)*(DE3:DE54="W"))+SUMPRODUCT((CZ3:CZ54=U31)*(DC3:DC54=U34)*(DE3:DE54="W"))+SUMPRODUCT((CZ3:CZ54=U32)*(DC3:DC54=U34)*(DE3:DE54="W"))+SUMPRODUCT((CZ3:CZ54=U33)*(DC3:DC54=U34)*(DE3:DE54="W"))</f>
        <v>0</v>
      </c>
      <c r="W34" s="194">
        <f>SUMPRODUCT((CZ3:CZ54=U34)*(DC3:DC54=U35)*(DD3:DD54="D"))+SUMPRODUCT((CZ3:CZ54=U34)*(DC3:DC54=U31)*(DD3:DD54="D"))+SUMPRODUCT((CZ3:CZ54=U34)*(DC3:DC54=U32)*(DD3:DD54="D"))+SUMPRODUCT((CZ3:CZ54=U34)*(DC3:DC54=U33)*(DD3:DD54="D"))+SUMPRODUCT((CZ3:CZ54=U35)*(DC3:DC54=U34)*(DD3:DD54="D"))+SUMPRODUCT((CZ3:CZ54=U31)*(DC3:DC54=U34)*(DD3:DD54="D"))+SUMPRODUCT((CZ3:CZ54=U32)*(DC3:DC54=U34)*(DD3:DD54="D"))+SUMPRODUCT((CZ3:CZ54=U33)*(DC3:DC54=U34)*(DD3:DD54="D"))</f>
        <v>0</v>
      </c>
      <c r="X34" s="194">
        <f>SUMPRODUCT((CZ3:CZ54=U34)*(DC3:DC54=U35)*(DD3:DD54="L"))+SUMPRODUCT((CZ3:CZ54=U34)*(DC3:DC54=U31)*(DD3:DD54="L"))+SUMPRODUCT((CZ3:CZ54=U34)*(DC3:DC54=U32)*(DD3:DD54="L"))+SUMPRODUCT((CZ3:CZ54=U34)*(DC3:DC54=U33)*(DD3:DD54="L"))+SUMPRODUCT((CZ3:CZ54=U35)*(DC3:DC54=U34)*(DE3:DE54="L"))+SUMPRODUCT((CZ3:CZ54=U31)*(DC3:DC54=U34)*(DE3:DE54="L"))+SUMPRODUCT((CZ3:CZ54=U32)*(DC3:DC54=U34)*(DE3:DE54="L"))+SUMPRODUCT((CZ3:CZ54=U33)*(DC3:DC54=U34)*(DE3:DE54="L"))</f>
        <v>0</v>
      </c>
      <c r="Y34" s="194">
        <f>SUMPRODUCT((CZ3:CZ54=U34)*(DC3:DC54=U35)*DA3:DA54)+SUMPRODUCT((CZ3:CZ54=U34)*(DC3:DC54=U31)*DA3:DA54)+SUMPRODUCT((CZ3:CZ54=U34)*(DC3:DC54=U32)*DA3:DA54)+SUMPRODUCT((CZ3:CZ54=U34)*(DC3:DC54=U33)*DA3:DA54)+SUMPRODUCT((CZ3:CZ54=U35)*(DC3:DC54=U34)*DB3:DB54)+SUMPRODUCT((CZ3:CZ54=U31)*(DC3:DC54=U34)*DB3:DB54)+SUMPRODUCT((CZ3:CZ54=U32)*(DC3:DC54=U34)*DB3:DB54)+SUMPRODUCT((CZ3:CZ54=U33)*(DC3:DC54=U34)*DB3:DB54)</f>
        <v>0</v>
      </c>
      <c r="Z34" s="194">
        <f>SUMPRODUCT((CZ3:CZ54=U34)*(DC3:DC54=U35)*DB3:DB54)+SUMPRODUCT((CZ3:CZ54=U34)*(DC3:DC54=U31)*DB3:DB54)+SUMPRODUCT((CZ3:CZ54=U34)*(DC3:DC54=U32)*DB3:DB54)+SUMPRODUCT((CZ3:CZ54=U34)*(DC3:DC54=U33)*DB3:DB54)+SUMPRODUCT((CZ3:CZ54=U35)*(DC3:DC54=U34)*DA3:DA54)+SUMPRODUCT((CZ3:CZ54=U31)*(DC3:DC54=U34)*DA3:DA54)+SUMPRODUCT((CZ3:CZ54=U32)*(DC3:DC54=U34)*DA3:DA54)+SUMPRODUCT((CZ3:CZ54=U33)*(DC3:DC54=U34)*DA3:DA54)</f>
        <v>0</v>
      </c>
      <c r="AA34" s="194">
        <f>Y34-Z34+1000</f>
        <v>1000</v>
      </c>
      <c r="AB34" s="194">
        <f t="shared" si="54"/>
        <v>0</v>
      </c>
      <c r="AC34" s="194">
        <f>IF(U34&lt;&gt;"",VLOOKUP(U34,B4:H52,7,FALSE),"")</f>
        <v>1000</v>
      </c>
      <c r="AD34" s="194">
        <f>IF(U34&lt;&gt;"",VLOOKUP(U34,B4:H52,5,FALSE),"")</f>
        <v>0</v>
      </c>
      <c r="AE34" s="194">
        <f>IF(U34&lt;&gt;"",VLOOKUP(U34,B4:J52,9,FALSE),"")</f>
        <v>25</v>
      </c>
      <c r="AF34" s="194">
        <f t="shared" si="55"/>
        <v>0</v>
      </c>
      <c r="AG34" s="194">
        <f>IF(U34&lt;&gt;"",RANK(AF34,AF31:AF35),"")</f>
        <v>1</v>
      </c>
      <c r="AH34" s="194">
        <f>IF(U34&lt;&gt;"",SUMPRODUCT((AF31:AF35=AF34)*(AA31:AA35&gt;AA34)),"")</f>
        <v>0</v>
      </c>
      <c r="AI34" s="194">
        <f>IF(U34&lt;&gt;"",SUMPRODUCT((AF31:AF35=AF34)*(AA31:AA35=AA34)*(Y31:Y35&gt;Y34)),"")</f>
        <v>0</v>
      </c>
      <c r="AJ34" s="194">
        <f>IF(U34&lt;&gt;"",SUMPRODUCT((AF31:AF35=AF34)*(AA31:AA35=AA34)*(Y31:Y35=Y34)*(AC31:AC35&gt;AC34)),"")</f>
        <v>0</v>
      </c>
      <c r="AK34" s="194">
        <f>IF(U34&lt;&gt;"",SUMPRODUCT((AF31:AF35=AF34)*(AA31:AA35=AA34)*(Y31:Y35=Y34)*(AC31:AC35=AC34)*(AD31:AD35&gt;AD34)),"")</f>
        <v>0</v>
      </c>
      <c r="AL34" s="194">
        <f>IF(U34&lt;&gt;"",SUMPRODUCT((AF31:AF35=AF34)*(AA31:AA35=AA34)*(Y31:Y35=Y34)*(AC31:AC35=AC34)*(AD31:AD35=AD34)*(AE31:AE35&gt;AE34)),"")</f>
        <v>0</v>
      </c>
      <c r="AM34" s="194">
        <f>IF(U34&lt;&gt;"",IF(AM86&lt;&gt;"",IF(T82=3,AM86,IF(T82=4,SUM(AG34:AL34),AM86+T82)),SUM(AG34:AL34)),"")</f>
        <v>1</v>
      </c>
      <c r="AN34" s="194" t="str">
        <f>IF(U34&lt;&gt;"",INDEX(U31:U35,MATCH(4,AM31:AM35,0),0),"")</f>
        <v>Urawa Red Diamonds</v>
      </c>
      <c r="AO34" s="194" t="str">
        <f>IF(Q33&lt;&gt;"",Q33,"")</f>
        <v/>
      </c>
      <c r="AP34" s="194" t="str">
        <f>IF(AO34&lt;&gt;"",SUMPRODUCT((CZ3:CZ54=AO34)*(DC3:DC54=AO35)*(DD3:DD54="W"))+SUMPRODUCT((CZ3:CZ54=AO34)*(DC3:DC54=AO32)*(DD3:DD54="W"))+SUMPRODUCT((CZ3:CZ54=AO34)*(DC3:DC54=AO33)*(DD3:DD54="W"))+SUMPRODUCT((CZ3:CZ54=AO35)*(DC3:DC54=AO34)*(DE3:DE54="W"))+SUMPRODUCT((CZ3:CZ54=AO32)*(DC3:DC54=AO34)*(DE3:DE54="W"))+SUMPRODUCT((CZ3:CZ54=AO33)*(DC3:DC54=AO34)*(DE3:DE54="W")),"")</f>
        <v/>
      </c>
      <c r="AQ34" s="194" t="str">
        <f>IF(AO34&lt;&gt;"",SUMPRODUCT((CZ3:CZ54=AO34)*(DC3:DC54=AO35)*(DD3:DD54="D"))+SUMPRODUCT((CZ3:CZ54=AO34)*(DC3:DC54=AO32)*(DD3:DD54="D"))+SUMPRODUCT((CZ3:CZ54=AO34)*(DC3:DC54=AO33)*(DD3:DD54="D"))+SUMPRODUCT((CZ3:CZ54=AO35)*(DC3:DC54=AO34)*(DD3:DD54="D"))+SUMPRODUCT((CZ3:CZ54=AO32)*(DC3:DC54=AO34)*(DD3:DD54="D"))+SUMPRODUCT((CZ3:CZ54=AO33)*(DC3:DC54=AO34)*(DD3:DD54="D")),"")</f>
        <v/>
      </c>
      <c r="AR34" s="194" t="str">
        <f>IF(AO34&lt;&gt;"",SUMPRODUCT((CZ3:CZ54=AO34)*(DC3:DC54=AO35)*(DD3:DD54="L"))+SUMPRODUCT((CZ3:CZ54=AO34)*(DC3:DC54=AO32)*(DD3:DD54="L"))+SUMPRODUCT((CZ3:CZ54=AO34)*(DC3:DC54=AO33)*(DD3:DD54="L"))+SUMPRODUCT((CZ3:CZ54=AO35)*(DC3:DC54=AO34)*(DE3:DE54="L"))+SUMPRODUCT((CZ3:CZ54=AO32)*(DC3:DC54=AO34)*(DE3:DE54="L"))+SUMPRODUCT((CZ3:CZ54=AO33)*(DC3:DC54=AO34)*(DE3:DE54="L")),"")</f>
        <v/>
      </c>
      <c r="AS34" s="194">
        <f>SUMPRODUCT((CZ3:CZ54=AO34)*(DC3:DC54=AO35)*DA3:DA54)+SUMPRODUCT((CZ3:CZ54=AO34)*(DC3:DC54=AO31)*DA3:DA54)+SUMPRODUCT((CZ3:CZ54=AO34)*(DC3:DC54=AO32)*DA3:DA54)+SUMPRODUCT((CZ3:CZ54=AO34)*(DC3:DC54=AO33)*DA3:DA54)+SUMPRODUCT((CZ3:CZ54=AO35)*(DC3:DC54=AO34)*DB3:DB54)+SUMPRODUCT((CZ3:CZ54=AO31)*(DC3:DC54=AO34)*DB3:DB54)+SUMPRODUCT((CZ3:CZ54=AO32)*(DC3:DC54=AO34)*DB3:DB54)+SUMPRODUCT((CZ3:CZ54=AO33)*(DC3:DC54=AO34)*DB3:DB54)</f>
        <v>0</v>
      </c>
      <c r="AT34" s="194">
        <f>SUMPRODUCT((CZ3:CZ54=AO34)*(DC3:DC54=AO35)*DB3:DB54)+SUMPRODUCT((CZ3:CZ54=AO34)*(DC3:DC54=AO31)*DB3:DB54)+SUMPRODUCT((CZ3:CZ54=AO34)*(DC3:DC54=AO32)*DB3:DB54)+SUMPRODUCT((CZ3:CZ54=AO34)*(DC3:DC54=AO33)*DB3:DB54)+SUMPRODUCT((CZ3:CZ54=AO35)*(DC3:DC54=AO34)*DA3:DA54)+SUMPRODUCT((CZ3:CZ54=AO31)*(DC3:DC54=AO34)*DA3:DA54)+SUMPRODUCT((CZ3:CZ54=AO32)*(DC3:DC54=AO34)*DA3:DA54)+SUMPRODUCT((CZ3:CZ54=AO33)*(DC3:DC54=AO34)*DA3:DA54)</f>
        <v>0</v>
      </c>
      <c r="AU34" s="194">
        <f>AS34-AT34+1000</f>
        <v>1000</v>
      </c>
      <c r="AV34" s="194" t="str">
        <f t="shared" si="58"/>
        <v/>
      </c>
      <c r="AW34" s="194" t="str">
        <f>IF(AO34&lt;&gt;"",VLOOKUP(AO34,B4:H52,7,FALSE),"")</f>
        <v/>
      </c>
      <c r="AX34" s="194" t="str">
        <f>IF(AO34&lt;&gt;"",VLOOKUP(AO34,B4:H52,5,FALSE),"")</f>
        <v/>
      </c>
      <c r="AY34" s="194" t="str">
        <f>IF(AO34&lt;&gt;"",VLOOKUP(AO34,B4:J52,9,FALSE),"")</f>
        <v/>
      </c>
      <c r="AZ34" s="194" t="str">
        <f t="shared" si="59"/>
        <v/>
      </c>
      <c r="BA34" s="194" t="str">
        <f>IF(AO34&lt;&gt;"",RANK(AZ34,AZ31:AZ35),"")</f>
        <v/>
      </c>
      <c r="BB34" s="194" t="str">
        <f>IF(AO34&lt;&gt;"",SUMPRODUCT((AZ31:AZ35=AZ34)*(AU31:AU35&gt;AU34)),"")</f>
        <v/>
      </c>
      <c r="BC34" s="194" t="str">
        <f>IF(AO34&lt;&gt;"",SUMPRODUCT((AZ31:AZ35=AZ34)*(AU31:AU35=AU34)*(AS31:AS35&gt;AS34)),"")</f>
        <v/>
      </c>
      <c r="BD34" s="194" t="str">
        <f>IF(AO34&lt;&gt;"",SUMPRODUCT((AZ31:AZ35=AZ34)*(AU31:AU35=AU34)*(AS31:AS35=AS34)*(AW31:AW35&gt;AW34)),"")</f>
        <v/>
      </c>
      <c r="BE34" s="194" t="str">
        <f>IF(AO34&lt;&gt;"",SUMPRODUCT((AZ31:AZ35=AZ34)*(AU31:AU35=AU34)*(AS31:AS35=AS34)*(AW31:AW35=AW34)*(AX31:AX35&gt;AX34)),"")</f>
        <v/>
      </c>
      <c r="BF34" s="194" t="str">
        <f>IF(AO34&lt;&gt;"",SUMPRODUCT((AZ31:AZ35=AZ34)*(AU31:AU35=AU34)*(AS31:AS35=AS34)*(AW31:AW35=AW34)*(AX31:AX35=AX34)*(AY31:AY35&gt;AY34)),"")</f>
        <v/>
      </c>
      <c r="BG34" s="194" t="str">
        <f>IF(AO34&lt;&gt;"",IF(BG86&lt;&gt;"",IF(AN82=3,BG86,BG86+AN82),SUM(BA34:BF34)+1),"")</f>
        <v/>
      </c>
      <c r="BH34" s="194" t="str">
        <f>IF(AO34&lt;&gt;"",INDEX(AO32:AO35,MATCH(4,BG32:BG35,0),0),"")</f>
        <v/>
      </c>
      <c r="BI34" s="194" t="str">
        <f>IF(R32&lt;&gt;"",R32,"")</f>
        <v/>
      </c>
      <c r="BJ34" s="194">
        <f>SUMPRODUCT((CZ3:CZ54=BI34)*(DC3:DC54=BI35)*(DD3:DD54="W"))+SUMPRODUCT((CZ3:CZ54=BI34)*(DC3:DC54=BI36)*(DD3:DD54="W"))+SUMPRODUCT((CZ3:CZ54=BI34)*(DC3:DC54=BI33)*(DD3:DD54="W"))+SUMPRODUCT((CZ3:CZ54=BI35)*(DC3:DC54=BI34)*(DE3:DE54="W"))+SUMPRODUCT((CZ3:CZ54=BI36)*(DC3:DC54=BI34)*(DE3:DE54="W"))+SUMPRODUCT((CZ3:CZ54=BI33)*(DC3:DC54=BI34)*(DE3:DE54="W"))</f>
        <v>0</v>
      </c>
      <c r="BK34" s="194">
        <f>SUMPRODUCT((CZ3:CZ54=BI34)*(DC3:DC54=BI35)*(DD3:DD54="D"))+SUMPRODUCT((CZ3:CZ54=BI34)*(DC3:DC54=BI36)*(DD3:DD54="D"))+SUMPRODUCT((CZ3:CZ54=BI34)*(DC3:DC54=BI33)*(DD3:DD54="D"))+SUMPRODUCT((CZ3:CZ54=BI35)*(DC3:DC54=BI34)*(DD3:DD54="D"))+SUMPRODUCT((CZ3:CZ54=BI36)*(DC3:DC54=BI34)*(DD3:DD54="D"))+SUMPRODUCT((CZ3:CZ54=BI33)*(DC3:DC54=BI34)*(DD3:DD54="D"))</f>
        <v>0</v>
      </c>
      <c r="BL34" s="194">
        <f>SUMPRODUCT((CZ3:CZ54=BI34)*(DC3:DC54=BI35)*(DD3:DD54="L"))+SUMPRODUCT((CZ3:CZ54=BI34)*(DC3:DC54=BI36)*(DD3:DD54="L"))+SUMPRODUCT((CZ3:CZ54=BI34)*(DC3:DC54=BI33)*(DD3:DD54="L"))+SUMPRODUCT((CZ3:CZ54=BI35)*(DC3:DC54=BI34)*(DE3:DE54="L"))+SUMPRODUCT((CZ3:CZ54=BI36)*(DC3:DC54=BI34)*(DE3:DE54="L"))+SUMPRODUCT((CZ3:CZ54=BI33)*(DC3:DC54=BI34)*(DE3:DE54="L"))</f>
        <v>0</v>
      </c>
      <c r="BM34" s="194">
        <f>SUMPRODUCT((CZ3:CZ54=BI34)*(DC3:DC54=BI35)*DA3:DA54)+SUMPRODUCT((CZ3:CZ54=BI34)*(DC3:DC54=BI31)*DA3:DA54)+SUMPRODUCT((CZ3:CZ54=BI34)*(DC3:DC54=BI32)*DA3:DA54)+SUMPRODUCT((CZ3:CZ54=BI34)*(DC3:DC54=BI33)*DA3:DA54)+SUMPRODUCT((CZ3:CZ54=BI35)*(DC3:DC54=BI34)*DB3:DB54)+SUMPRODUCT((CZ3:CZ54=BI31)*(DC3:DC54=BI34)*DB3:DB54)+SUMPRODUCT((CZ3:CZ54=BI32)*(DC3:DC54=BI34)*DB3:DB54)+SUMPRODUCT((CZ3:CZ54=BI33)*(DC3:DC54=BI34)*DB3:DB54)</f>
        <v>0</v>
      </c>
      <c r="BN34" s="194">
        <f>SUMPRODUCT((CZ3:CZ54=BI34)*(DC3:DC54=BI35)*DB3:DB54)+SUMPRODUCT((CZ3:CZ54=BI34)*(DC3:DC54=BI31)*DB3:DB54)+SUMPRODUCT((CZ3:CZ54=BI34)*(DC3:DC54=BI32)*DB3:DB54)+SUMPRODUCT((CZ3:CZ54=BI34)*(DC3:DC54=BI33)*DB3:DB54)+SUMPRODUCT((CZ3:CZ54=BI35)*(DC3:DC54=BI34)*DA3:DA54)+SUMPRODUCT((CZ3:CZ54=BI31)*(DC3:DC54=BI34)*DA3:DA54)+SUMPRODUCT((CZ3:CZ54=BI32)*(DC3:DC54=BI34)*DA3:DA54)+SUMPRODUCT((CZ3:CZ54=BI33)*(DC3:DC54=BI34)*DA3:DA54)</f>
        <v>0</v>
      </c>
      <c r="BO34" s="194">
        <f>BM34-BN34+1000</f>
        <v>1000</v>
      </c>
      <c r="BP34" s="194" t="str">
        <f t="shared" si="60"/>
        <v/>
      </c>
      <c r="BQ34" s="194" t="str">
        <f>IF(BI34&lt;&gt;"",VLOOKUP(BI34,B4:H52,7,FALSE),"")</f>
        <v/>
      </c>
      <c r="BR34" s="194" t="str">
        <f>IF(BI34&lt;&gt;"",VLOOKUP(BI34,B4:H52,5,FALSE),"")</f>
        <v/>
      </c>
      <c r="BS34" s="194" t="str">
        <f>IF(BI34&lt;&gt;"",VLOOKUP(BI34,B4:J52,9,FALSE),"")</f>
        <v/>
      </c>
      <c r="BT34" s="194" t="str">
        <f t="shared" si="61"/>
        <v/>
      </c>
      <c r="BU34" s="194" t="str">
        <f>IF(BI34&lt;&gt;"",RANK(BT34,BT32:BT35),"")</f>
        <v/>
      </c>
      <c r="BV34" s="194" t="str">
        <f>IF(BI34&lt;&gt;"",SUMPRODUCT((BT31:BT35=BT34)*(BO31:BO35&gt;BO34)),"")</f>
        <v/>
      </c>
      <c r="BW34" s="194" t="str">
        <f>IF(BI34&lt;&gt;"",SUMPRODUCT((BT31:BT35=BT34)*(BO31:BO35=BO34)*(BM31:BM35&gt;BM34)),"")</f>
        <v/>
      </c>
      <c r="BX34" s="194" t="str">
        <f>IF(BI34&lt;&gt;"",SUMPRODUCT((BT31:BT35=BT34)*(BO31:BO35=BO34)*(BM31:BM35=BM34)*(BQ31:BQ35&gt;BQ34)),"")</f>
        <v/>
      </c>
      <c r="BY34" s="194" t="str">
        <f>IF(BI34&lt;&gt;"",SUMPRODUCT((BT31:BT35=BT34)*(BO31:BO35=BO34)*(BM31:BM35=BM34)*(BQ31:BQ35=BQ34)*(BR31:BR35&gt;BR34)),"")</f>
        <v/>
      </c>
      <c r="BZ34" s="194" t="str">
        <f>IF(BI34&lt;&gt;"",SUMPRODUCT((BT31:BT35=BT34)*(BO31:BO35=BO34)*(BM31:BM35=BM34)*(BQ31:BQ35=BQ34)*(BR31:BR35=BR34)*(BS31:BS35&gt;BS34)),"")</f>
        <v/>
      </c>
      <c r="CA34" s="194" t="str">
        <f>IF(BI34&lt;&gt;"",SUM(BU34:BZ34)+2,"")</f>
        <v/>
      </c>
      <c r="CB34" s="194" t="str">
        <f>IF(BI34&lt;&gt;"",INDEX(BI33:BI35,MATCH(4,CA33:CA35,0),0),"")</f>
        <v/>
      </c>
      <c r="CC34" s="194" t="str">
        <f>IF(S31&lt;&gt;"",S31,"")</f>
        <v/>
      </c>
      <c r="CD34" s="194">
        <f>SUMPRODUCT((CZ3:CZ54=U34)*(DC3:DC54=U35)*(DD3:DD54="W"))+SUMPRODUCT((CZ3:CZ54=U34)*(DC3:DC54=U31)*(DD3:DD54="W"))+SUMPRODUCT((CZ3:CZ54=U34)*(DC3:DC54=U32)*(DD3:DD54="W"))+SUMPRODUCT((CZ3:CZ54=U34)*(DC3:DC54=U33)*(DD3:DD54="W"))+SUMPRODUCT((CZ3:CZ54=U35)*(DC3:DC54=U34)*(DE3:DE54="W"))+SUMPRODUCT((CZ3:CZ54=U31)*(DC3:DC54=U34)*(DE3:DE54="W"))+SUMPRODUCT((CZ3:CZ54=U32)*(DC3:DC54=U34)*(DE3:DE54="W"))+SUMPRODUCT((CZ3:CZ54=U33)*(DC3:DC54=U34)*(DE3:DE54="W"))</f>
        <v>0</v>
      </c>
      <c r="CE34" s="194">
        <f>SUMPRODUCT((CZ3:CZ54=U34)*(DC3:DC54=U35)*(DD3:DD54="D"))+SUMPRODUCT((CZ3:CZ54=U34)*(DC3:DC54=U31)*(DD3:DD54="D"))+SUMPRODUCT((CZ3:CZ54=U34)*(DC3:DC54=U32)*(DD3:DD54="D"))+SUMPRODUCT((CZ3:CZ54=U34)*(DC3:DC54=U33)*(DD3:DD54="D"))+SUMPRODUCT((CZ3:CZ54=U35)*(DC3:DC54=U34)*(DD3:DD54="D"))+SUMPRODUCT((CZ3:CZ54=U31)*(DC3:DC54=U34)*(DD3:DD54="D"))+SUMPRODUCT((CZ3:CZ54=U32)*(DC3:DC54=U34)*(DD3:DD54="D"))+SUMPRODUCT((CZ3:CZ54=U33)*(DC3:DC54=U34)*(DD3:DD54="D"))</f>
        <v>0</v>
      </c>
      <c r="CF34" s="194">
        <f>SUMPRODUCT((CZ3:CZ54=U34)*(DC3:DC54=U35)*(DD3:DD54="L"))+SUMPRODUCT((CZ3:CZ54=U34)*(DC3:DC54=U31)*(DD3:DD54="L"))+SUMPRODUCT((CZ3:CZ54=U34)*(DC3:DC54=U32)*(DD3:DD54="L"))+SUMPRODUCT((CZ3:CZ54=U34)*(DC3:DC54=U33)*(DD3:DD54="L"))+SUMPRODUCT((CZ3:CZ54=U35)*(DC3:DC54=U34)*(DE3:DE54="L"))+SUMPRODUCT((CZ3:CZ54=U31)*(DC3:DC54=U34)*(DE3:DE54="L"))+SUMPRODUCT((CZ3:CZ54=U32)*(DC3:DC54=U34)*(DE3:DE54="L"))+SUMPRODUCT((CZ3:CZ54=U33)*(DC3:DC54=U34)*(DE3:DE54="L"))</f>
        <v>0</v>
      </c>
      <c r="CG34" s="194">
        <f>SUMPRODUCT((CZ3:CZ54=CC34)*(DC3:DC54=CC35)*DA3:DA54)+SUMPRODUCT((CZ3:CZ54=CC34)*(DC3:DC54=CC31)*DA3:DA54)+SUMPRODUCT((CZ3:CZ54=CC34)*(DC3:DC54=CC32)*DA3:DA54)+SUMPRODUCT((CZ3:CZ54=CC34)*(DC3:DC54=CC33)*DA3:DA54)+SUMPRODUCT((CZ3:CZ54=CC35)*(DC3:DC54=CC34)*DB3:DB54)+SUMPRODUCT((CZ3:CZ54=CC31)*(DC3:DC54=CC34)*DB3:DB54)+SUMPRODUCT((CZ3:CZ54=CC32)*(DC3:DC54=CC34)*DB3:DB54)+SUMPRODUCT((CZ3:CZ54=CC33)*(DC3:DC54=CC34)*DB3:DB54)</f>
        <v>0</v>
      </c>
      <c r="CH34" s="194">
        <f>SUMPRODUCT((CZ3:CZ54=CC34)*(DC3:DC54=CC35)*DB3:DB54)+SUMPRODUCT((CZ3:CZ54=CC34)*(DC3:DC54=CC31)*DB3:DB54)+SUMPRODUCT((CZ3:CZ54=CC34)*(DC3:DC54=CC32)*DB3:DB54)+SUMPRODUCT((CZ3:CZ54=CC34)*(DC3:DC54=CC33)*DB3:DB54)+SUMPRODUCT((CZ3:CZ54=CC35)*(DC3:DC54=CC34)*DA3:DA54)+SUMPRODUCT((CZ3:CZ54=CC31)*(DC3:DC54=CC34)*DA3:DA54)+SUMPRODUCT((CZ3:CZ54=CC32)*(DC3:DC54=CC34)*DA3:DA54)+SUMPRODUCT((CZ3:CZ54=CC33)*(DC3:DC54=CC34)*DA3:DA54)</f>
        <v>0</v>
      </c>
      <c r="CI34" s="194">
        <f>CG34-CH34+1000</f>
        <v>1000</v>
      </c>
      <c r="CJ34" s="194" t="str">
        <f t="shared" ref="CJ34" si="62">IF(CC34&lt;&gt;"",CD34*3+CE34*1,"")</f>
        <v/>
      </c>
      <c r="CK34" s="194" t="str">
        <f>IF(CC34&lt;&gt;"",VLOOKUP(CC34,B4:H52,7,FALSE),"")</f>
        <v/>
      </c>
      <c r="CL34" s="194" t="str">
        <f>IF(CC34&lt;&gt;"",VLOOKUP(CC34,B4:H52,5,FALSE),"")</f>
        <v/>
      </c>
      <c r="CM34" s="194" t="str">
        <f>IF(CC34&lt;&gt;"",VLOOKUP(CC34,B4:J52,9,FALSE),"")</f>
        <v/>
      </c>
      <c r="CN34" s="194" t="str">
        <f t="shared" ref="CN34" si="63">CJ34</f>
        <v/>
      </c>
      <c r="CO34" s="194" t="str">
        <f>IF(CC34&lt;&gt;"",RANK(CN34,AF31:AF35),"")</f>
        <v/>
      </c>
      <c r="CP34" s="194" t="str">
        <f>IF(CC34&lt;&gt;"",SUMPRODUCT((CN31:CN35=CN34)*(CI31:CI35&gt;CI34)),"")</f>
        <v/>
      </c>
      <c r="CQ34" s="194" t="str">
        <f>IF(CC34&lt;&gt;"",SUMPRODUCT((CN31:CN35=CN34)*(CI31:CI35=CI34)*(CG31:CG35&gt;CG34)),"")</f>
        <v/>
      </c>
      <c r="CR34" s="194" t="str">
        <f>IF(CC34&lt;&gt;"",SUMPRODUCT((CN31:CN35=CN34)*(CI31:CI35=CI34)*(CG31:CG35=CG34)*(CK31:CK35&gt;CK34)),"")</f>
        <v/>
      </c>
      <c r="CS34" s="194" t="str">
        <f>IF(CC34&lt;&gt;"",SUMPRODUCT((CN31:CN35=CN34)*(CI31:CI35=CI34)*(CG31:CG35=CG34)*(CK31:CK35=CK34)*(CL31:CL35&gt;CL34)),"")</f>
        <v/>
      </c>
      <c r="CT34" s="194" t="str">
        <f>IF(CC34&lt;&gt;"",SUMPRODUCT((CN31:CN35=CN34)*(CI31:CI35=CI34)*(CG31:CG35=CG34)*(CK31:CK35=CK34)*(CL31:CL35=CL34)*(CM31:CM35&gt;CM34)),"")</f>
        <v/>
      </c>
      <c r="CU34" s="194" t="str">
        <f>IF(CC34&lt;&gt;"",SUM(CO34:CT34)+3,"")</f>
        <v/>
      </c>
      <c r="CV34" s="194" t="str">
        <f>IF(CC34&lt;&gt;"",INDEX(U31:U35,MATCH(1,AM31:AM35,0),0),"")</f>
        <v/>
      </c>
      <c r="CW34" s="194" t="str">
        <f>IF(CV34&lt;&gt;"",CV34,IF(CB34&lt;&gt;"",CB34,IF(BH34&lt;&gt;"",BH34,IF(AN34&lt;&gt;"",AN34,N34))))</f>
        <v>Urawa Red Diamonds</v>
      </c>
      <c r="CX34" s="194">
        <v>4</v>
      </c>
      <c r="CY34" s="194">
        <v>32</v>
      </c>
      <c r="CZ34" s="194" t="str">
        <f>Matches!H35</f>
        <v>Manchester City</v>
      </c>
      <c r="DA34" s="194">
        <f>IF(CZ2&lt;&gt;"",IF(AND(Matches!J35&lt;&gt;"",Matches!K35&lt;&gt;""),Matches!J35,0),"")</f>
        <v>0</v>
      </c>
      <c r="DB34" s="194">
        <f>IF(CZ2&lt;&gt;"",IF(AND(Matches!J35&lt;&gt;"",Matches!K35&lt;&gt;""),Matches!K35,0),"")</f>
        <v>0</v>
      </c>
      <c r="DC34" s="194" t="str">
        <f>Matches!M35</f>
        <v>Al Ain</v>
      </c>
      <c r="DD34" s="194" t="str">
        <f>IF(AND(Matches!J35&lt;&gt;"",Matches!K35&lt;&gt;""),IF(DA34&gt;DB34,"W",IF(DA34=DB34,"D","L")),"")</f>
        <v/>
      </c>
      <c r="DE34" s="194" t="str">
        <f t="shared" si="0"/>
        <v/>
      </c>
      <c r="DN34" s="20" t="str">
        <f>Setup!E35</f>
        <v>ITA</v>
      </c>
      <c r="DP34" s="212"/>
      <c r="DQ34" s="199"/>
      <c r="DR34" s="200" t="str">
        <f t="shared" si="15"/>
        <v>Juventus</v>
      </c>
      <c r="DS34" s="201" t="s">
        <v>631</v>
      </c>
      <c r="DT34" s="200"/>
      <c r="DU34" s="196">
        <v>28</v>
      </c>
      <c r="DV34" s="202" t="s">
        <v>101</v>
      </c>
      <c r="DW34" s="20"/>
      <c r="DX34" s="9">
        <v>28</v>
      </c>
      <c r="DY34" s="203">
        <f t="shared" si="13"/>
        <v>45829.875</v>
      </c>
      <c r="DZ34" s="204">
        <f>EB34+3/24</f>
        <v>45829.875</v>
      </c>
      <c r="EA34" s="205">
        <f t="shared" si="14"/>
        <v>45829.875</v>
      </c>
      <c r="EB34" s="204">
        <v>45829.75</v>
      </c>
      <c r="ED34" s="196" t="str">
        <f>INDEX(Language!A1:K117,MATCH(Setup!B35,Language!B1:B117,0),MATCH(Setup!C5,Language!A1:J1,0))</f>
        <v>Juventus</v>
      </c>
    </row>
    <row r="35" spans="1:134" ht="16.5" x14ac:dyDescent="0.25">
      <c r="CY35" s="194">
        <v>33</v>
      </c>
      <c r="CZ35" s="194" t="str">
        <f>Matches!H36</f>
        <v>Seattle Sounders</v>
      </c>
      <c r="DA35" s="194">
        <f>IF(CZ2&lt;&gt;"",IF(AND(Matches!J36&lt;&gt;"",Matches!K36&lt;&gt;""),Matches!J36,0),"")</f>
        <v>0</v>
      </c>
      <c r="DB35" s="194">
        <f>IF(CZ2&lt;&gt;"",IF(AND(Matches!J36&lt;&gt;"",Matches!K36&lt;&gt;""),Matches!K36,0),"")</f>
        <v>0</v>
      </c>
      <c r="DC35" s="194" t="str">
        <f>Matches!M36</f>
        <v>Paris Saint-Germain</v>
      </c>
      <c r="DD35" s="194" t="str">
        <f>IF(AND(Matches!J36&lt;&gt;"",Matches!K36&lt;&gt;""),IF(DA35&gt;DB35,"W",IF(DA35=DB35,"D","L")),"")</f>
        <v/>
      </c>
      <c r="DE35" s="194" t="str">
        <f t="shared" si="0"/>
        <v/>
      </c>
      <c r="DN35" s="20" t="str">
        <f>Setup!E36</f>
        <v>ESP</v>
      </c>
      <c r="DP35" s="212" t="s">
        <v>91</v>
      </c>
      <c r="DQ35" s="199"/>
      <c r="DR35" s="200" t="str">
        <f t="shared" si="15"/>
        <v>Real Madrid</v>
      </c>
      <c r="DS35" s="201" t="s">
        <v>632</v>
      </c>
      <c r="DT35" s="200"/>
      <c r="DU35" s="196">
        <v>29</v>
      </c>
      <c r="DV35" s="202" t="s">
        <v>102</v>
      </c>
      <c r="DW35" s="20"/>
      <c r="DX35" s="9">
        <v>29</v>
      </c>
      <c r="DY35" s="203">
        <f t="shared" si="13"/>
        <v>45830.5</v>
      </c>
      <c r="DZ35" s="204">
        <v>45830.5</v>
      </c>
      <c r="EA35" s="205">
        <f t="shared" si="14"/>
        <v>45830.5</v>
      </c>
      <c r="EB35" s="204">
        <v>45830.5</v>
      </c>
      <c r="ED35" s="196" t="str">
        <f>INDEX(Language!A1:K117,MATCH(Setup!B36,Language!B1:B117,0),MATCH(Setup!C5,Language!A1:J1,0))</f>
        <v>Real Madrid</v>
      </c>
    </row>
    <row r="36" spans="1:134" x14ac:dyDescent="0.25">
      <c r="CY36" s="194">
        <v>34</v>
      </c>
      <c r="CZ36" s="194" t="str">
        <f>Matches!H37</f>
        <v>Atletico Madrid</v>
      </c>
      <c r="DA36" s="194">
        <f>IF(CZ2&lt;&gt;"",IF(AND(Matches!J37&lt;&gt;"",Matches!K37&lt;&gt;""),Matches!J37,0),"")</f>
        <v>0</v>
      </c>
      <c r="DB36" s="194">
        <f>IF(CZ2&lt;&gt;"",IF(AND(Matches!J37&lt;&gt;"",Matches!K37&lt;&gt;""),Matches!K37,0),"")</f>
        <v>0</v>
      </c>
      <c r="DC36" s="194" t="str">
        <f>Matches!M37</f>
        <v>Botafogo</v>
      </c>
      <c r="DD36" s="194" t="str">
        <f>IF(AND(Matches!J37&lt;&gt;"",Matches!K37&lt;&gt;""),IF(DA36&gt;DB36,"W",IF(DA36=DB36,"D","L")),"")</f>
        <v/>
      </c>
      <c r="DE36" s="194" t="str">
        <f t="shared" si="0"/>
        <v/>
      </c>
      <c r="DN36" s="20" t="str">
        <f>Setup!E37</f>
        <v>KSA</v>
      </c>
      <c r="DP36" s="212"/>
      <c r="DQ36" s="199"/>
      <c r="DR36" s="200" t="str">
        <f t="shared" si="15"/>
        <v>Al Hilal</v>
      </c>
      <c r="DS36" s="201" t="s">
        <v>633</v>
      </c>
      <c r="DT36" s="200"/>
      <c r="DU36" s="196">
        <v>30</v>
      </c>
      <c r="DV36" s="202" t="s">
        <v>103</v>
      </c>
      <c r="DW36" s="20"/>
      <c r="DX36" s="9">
        <v>30</v>
      </c>
      <c r="DY36" s="203">
        <f t="shared" si="13"/>
        <v>45830.625</v>
      </c>
      <c r="DZ36" s="204">
        <v>45830.625</v>
      </c>
      <c r="EA36" s="205">
        <f t="shared" si="14"/>
        <v>45830.625</v>
      </c>
      <c r="EB36" s="204">
        <v>45830.625</v>
      </c>
      <c r="ED36" s="196" t="str">
        <f>INDEX(Language!A1:K117,MATCH(Setup!B37,Language!B1:B117,0),MATCH(Setup!C5,Language!A1:J1,0))</f>
        <v>Al Hilal</v>
      </c>
    </row>
    <row r="37" spans="1:134" x14ac:dyDescent="0.25">
      <c r="A37" s="194">
        <f>VLOOKUP(B37,CW37:CX41,2,FALSE)</f>
        <v>1</v>
      </c>
      <c r="B37" s="195" t="str">
        <f>ED27</f>
        <v>Fluminense</v>
      </c>
      <c r="C37" s="194">
        <f>SUMPRODUCT((CZ3:CZ54=B37)*(DD3:DD54="W"))+SUMPRODUCT((DC3:DC54=B37)*(DE3:DE54="W"))</f>
        <v>0</v>
      </c>
      <c r="D37" s="194">
        <f>SUMPRODUCT((CZ3:CZ54=B37)*(DD3:DD54="D"))+SUMPRODUCT((DC3:DC54=B37)*(DE3:DE54="D"))</f>
        <v>0</v>
      </c>
      <c r="E37" s="194">
        <f>SUMPRODUCT((CZ3:CZ54=B37)*(DD3:DD54="L"))+SUMPRODUCT((DC3:DC54=B37)*(DE3:DE54="L"))</f>
        <v>0</v>
      </c>
      <c r="F37" s="194">
        <f>SUMIF(CZ3:CZ72,B37,DA3:DA72)+SUMIF(DC3:DC72,B37,DB3:DB72)</f>
        <v>0</v>
      </c>
      <c r="G37" s="194">
        <f>SUMIF(DC3:DC72,B37,DA3:DA72)+SUMIF(CZ3:CZ72,B37,DB3:DB72)</f>
        <v>0</v>
      </c>
      <c r="H37" s="194">
        <f t="shared" ref="H37:H40" si="64">F37-G37+1000</f>
        <v>1000</v>
      </c>
      <c r="I37" s="194">
        <f t="shared" ref="I37:I40" si="65">C37*3+D37*1</f>
        <v>0</v>
      </c>
      <c r="J37" s="194">
        <f>IF(Setup!G28&lt;&gt;"",Setup!G28,26)</f>
        <v>26</v>
      </c>
      <c r="K37" s="194">
        <f>IF(COUNTIF(I37:I41,4)&lt;&gt;4,RANK(I37,I37:I41),I89)</f>
        <v>1</v>
      </c>
      <c r="M37" s="194">
        <f>SUMPRODUCT((K37:K40=K37)*(J37:J40&lt;J37))+K37</f>
        <v>4</v>
      </c>
      <c r="N37" s="195" t="str">
        <f>INDEX(B37:B41,MATCH(1,M37:M41,0),0)</f>
        <v>Mamelodi Sundowns</v>
      </c>
      <c r="O37" s="194">
        <f>INDEX(K37:K41,MATCH(N37,B37:B41,0),0)</f>
        <v>1</v>
      </c>
      <c r="P37" s="194" t="str">
        <f>IF(O38=1,N37,"")</f>
        <v>Mamelodi Sundowns</v>
      </c>
      <c r="Q37" s="194" t="str">
        <f>IF(O39=2,N38,"")</f>
        <v/>
      </c>
      <c r="R37" s="194" t="str">
        <f>IF(O40=3,N39,"")</f>
        <v/>
      </c>
      <c r="S37" s="194" t="str">
        <f>IF(O41=4,N40,"")</f>
        <v/>
      </c>
      <c r="U37" s="194" t="str">
        <f>IF(P37&lt;&gt;"",P37,"")</f>
        <v>Mamelodi Sundowns</v>
      </c>
      <c r="V37" s="194">
        <f>SUMPRODUCT((CZ3:CZ54=U37)*(DC3:DC54=U38)*(DD3:DD54="W"))+SUMPRODUCT((CZ3:CZ54=U37)*(DC3:DC54=U39)*(DD3:DD54="W"))+SUMPRODUCT((CZ3:CZ54=U37)*(DC3:DC54=U40)*(DD3:DD54="W"))+SUMPRODUCT((CZ3:CZ54=U37)*(DC3:DC54=U41)*(DD3:DD54="W"))+SUMPRODUCT((CZ3:CZ54=U38)*(DC3:DC54=U37)*(DE3:DE54="W"))+SUMPRODUCT((CZ3:CZ54=U39)*(DC3:DC54=U37)*(DE3:DE54="W"))+SUMPRODUCT((CZ3:CZ54=U40)*(DC3:DC54=U37)*(DE3:DE54="W"))+SUMPRODUCT((CZ3:CZ54=U41)*(DC3:DC54=U37)*(DE3:DE54="W"))</f>
        <v>0</v>
      </c>
      <c r="W37" s="194">
        <f>SUMPRODUCT((CZ3:CZ54=U37)*(DC3:DC54=U38)*(DD3:DD54="D"))+SUMPRODUCT((CZ3:CZ54=U37)*(DC3:DC54=U39)*(DD3:DD54="D"))+SUMPRODUCT((CZ3:CZ54=U37)*(DC3:DC54=U40)*(DD3:DD54="D"))+SUMPRODUCT((CZ3:CZ54=U37)*(DC3:DC54=U41)*(DD3:DD54="D"))+SUMPRODUCT((CZ3:CZ54=U38)*(DC3:DC54=U37)*(DD3:DD54="D"))+SUMPRODUCT((CZ3:CZ54=U39)*(DC3:DC54=U37)*(DD3:DD54="D"))+SUMPRODUCT((CZ3:CZ54=U40)*(DC3:DC54=U37)*(DD3:DD54="D"))+SUMPRODUCT((CZ3:CZ54=U41)*(DC3:DC54=U37)*(DD3:DD54="D"))</f>
        <v>0</v>
      </c>
      <c r="X37" s="194">
        <f>SUMPRODUCT((CZ3:CZ54=U37)*(DC3:DC54=U38)*(DD3:DD54="L"))+SUMPRODUCT((CZ3:CZ54=U37)*(DC3:DC54=U39)*(DD3:DD54="L"))+SUMPRODUCT((CZ3:CZ54=U37)*(DC3:DC54=U40)*(DD3:DD54="L"))+SUMPRODUCT((CZ3:CZ54=U37)*(DC3:DC54=U41)*(DD3:DD54="L"))+SUMPRODUCT((CZ3:CZ54=U38)*(DC3:DC54=U37)*(DE3:DE54="L"))+SUMPRODUCT((CZ3:CZ54=U39)*(DC3:DC54=U37)*(DE3:DE54="L"))+SUMPRODUCT((CZ3:CZ54=U40)*(DC3:DC54=U37)*(DE3:DE54="L"))+SUMPRODUCT((CZ3:CZ54=U41)*(DC3:DC54=U37)*(DE3:DE54="L"))</f>
        <v>0</v>
      </c>
      <c r="Y37" s="194">
        <f>SUMPRODUCT((CZ3:CZ54=U37)*(DC3:DC54=U38)*DA3:DA54)+SUMPRODUCT((CZ3:CZ54=U37)*(DC3:DC54=U39)*DA3:DA54)+SUMPRODUCT((CZ3:CZ54=U37)*(DC3:DC54=U40)*DA3:DA54)+SUMPRODUCT((CZ3:CZ54=U37)*(DC3:DC54=U41)*DA3:DA54)+SUMPRODUCT((CZ3:CZ54=U38)*(DC3:DC54=U37)*DB3:DB54)+SUMPRODUCT((CZ3:CZ54=U39)*(DC3:DC54=U37)*DB3:DB54)+SUMPRODUCT((CZ3:CZ54=U40)*(DC3:DC54=U37)*DB3:DB54)+SUMPRODUCT((CZ3:CZ54=U41)*(DC3:DC54=U37)*DB3:DB54)</f>
        <v>0</v>
      </c>
      <c r="Z37" s="194">
        <f>SUMPRODUCT((CZ3:CZ54=U37)*(DC3:DC54=U38)*DB3:DB54)+SUMPRODUCT((CZ3:CZ54=U37)*(DC3:DC54=U39)*DB3:DB54)+SUMPRODUCT((CZ3:CZ54=U37)*(DC3:DC54=U40)*DB3:DB54)+SUMPRODUCT((CZ3:CZ54=U37)*(DC3:DC54=U41)*DB3:DB54)+SUMPRODUCT((CZ3:CZ54=U38)*(DC3:DC54=U37)*DA3:DA54)+SUMPRODUCT((CZ3:CZ54=U39)*(DC3:DC54=U37)*DA3:DA54)+SUMPRODUCT((CZ3:CZ54=U40)*(DC3:DC54=U37)*DA3:DA54)+SUMPRODUCT((CZ3:CZ54=U41)*(DC3:DC54=U37)*DA3:DA54)</f>
        <v>0</v>
      </c>
      <c r="AA37" s="194">
        <f>Y37-Z37+1000</f>
        <v>1000</v>
      </c>
      <c r="AB37" s="194">
        <f t="shared" ref="AB37:AB40" si="66">IF(U37&lt;&gt;"",V37*3+W37*1,"")</f>
        <v>0</v>
      </c>
      <c r="AC37" s="194">
        <f>IF(U37&lt;&gt;"",VLOOKUP(U37,B4:H52,7,FALSE),"")</f>
        <v>1000</v>
      </c>
      <c r="AD37" s="194">
        <f>IF(U37&lt;&gt;"",VLOOKUP(U37,B4:H52,5,FALSE),"")</f>
        <v>0</v>
      </c>
      <c r="AE37" s="194">
        <f>IF(U37&lt;&gt;"",VLOOKUP(U37,B4:J52,9,FALSE),"")</f>
        <v>3</v>
      </c>
      <c r="AF37" s="194">
        <f t="shared" ref="AF37:AF40" si="67">AB37</f>
        <v>0</v>
      </c>
      <c r="AG37" s="194">
        <f>IF(U37&lt;&gt;"",RANK(AF37,AF37:AF41),"")</f>
        <v>1</v>
      </c>
      <c r="AH37" s="194">
        <f>IF(U37&lt;&gt;"",SUMPRODUCT((AF37:AF41=AF37)*(AA37:AA41&gt;AA37)),"")</f>
        <v>0</v>
      </c>
      <c r="AI37" s="194">
        <f>IF(U37&lt;&gt;"",SUMPRODUCT((AF37:AF41=AF37)*(AA37:AA41=AA37)*(Y37:Y41&gt;Y37)),"")</f>
        <v>0</v>
      </c>
      <c r="AJ37" s="194">
        <f>IF(U37&lt;&gt;"",SUMPRODUCT((AF37:AF41=AF37)*(AA37:AA41=AA37)*(Y37:Y41=Y37)*(AC37:AC41&gt;AC37)),"")</f>
        <v>0</v>
      </c>
      <c r="AK37" s="194">
        <f>IF(U37&lt;&gt;"",SUMPRODUCT((AF37:AF41=AF37)*(AA37:AA41=AA37)*(Y37:Y41=Y37)*(AC37:AC41=AC37)*(AD37:AD41&gt;AD37)),"")</f>
        <v>0</v>
      </c>
      <c r="AL37" s="194">
        <f>IF(U37&lt;&gt;"",SUMPRODUCT((AF37:AF41=AF37)*(AA37:AA41=AA37)*(Y37:Y41=Y37)*(AC37:AC41=AC37)*(AD37:AD41=AD37)*(AE37:AE41&gt;AE37)),"")</f>
        <v>3</v>
      </c>
      <c r="AM37" s="194">
        <f>IF(U37&lt;&gt;"",IF(AM89&lt;&gt;"",IF(T88=3,AM89,AM89+T88),SUM(AG37:AL37)),"")</f>
        <v>4</v>
      </c>
      <c r="AN37" s="194" t="str">
        <f>IF(U37&lt;&gt;"",INDEX(U37:U41,MATCH(1,AM37:AM41,0),0),"")</f>
        <v>Fluminense</v>
      </c>
      <c r="CW37" s="194" t="str">
        <f>IF(AN37&lt;&gt;"",AN37,N37)</f>
        <v>Fluminense</v>
      </c>
      <c r="CX37" s="194">
        <v>1</v>
      </c>
      <c r="CY37" s="194">
        <v>35</v>
      </c>
      <c r="CZ37" s="194" t="str">
        <f>Matches!H38</f>
        <v>Inter Miami</v>
      </c>
      <c r="DA37" s="194">
        <f>IF(CZ2&lt;&gt;"",IF(AND(Matches!J38&lt;&gt;"",Matches!K38&lt;&gt;""),Matches!J38,0),"")</f>
        <v>0</v>
      </c>
      <c r="DB37" s="194">
        <f>IF(CZ2&lt;&gt;"",IF(AND(Matches!J38&lt;&gt;"",Matches!K38&lt;&gt;""),Matches!K38,0),"")</f>
        <v>0</v>
      </c>
      <c r="DC37" s="194" t="str">
        <f>Matches!M38</f>
        <v>Palmeiras</v>
      </c>
      <c r="DD37" s="194" t="str">
        <f>IF(AND(Matches!J38&lt;&gt;"",Matches!K38&lt;&gt;""),IF(DA37&gt;DB37,"W",IF(DA37=DB37,"D","L")),"")</f>
        <v/>
      </c>
      <c r="DE37" s="194" t="str">
        <f t="shared" si="0"/>
        <v/>
      </c>
      <c r="DN37" s="20" t="str">
        <f>Setup!E38</f>
        <v>MEX</v>
      </c>
      <c r="DP37" s="212"/>
      <c r="DQ37" s="199"/>
      <c r="DR37" s="200" t="str">
        <f t="shared" si="15"/>
        <v>Pachuca</v>
      </c>
      <c r="DS37" s="201" t="s">
        <v>634</v>
      </c>
      <c r="DT37" s="200"/>
      <c r="DU37" s="196">
        <v>31</v>
      </c>
      <c r="DV37" s="202" t="s">
        <v>104</v>
      </c>
      <c r="DW37" s="20"/>
      <c r="DX37" s="9">
        <v>31</v>
      </c>
      <c r="DY37" s="203">
        <f t="shared" si="13"/>
        <v>45830.75</v>
      </c>
      <c r="DZ37" s="204">
        <v>45830.75</v>
      </c>
      <c r="EA37" s="205">
        <f t="shared" si="14"/>
        <v>45830.75</v>
      </c>
      <c r="EB37" s="204">
        <v>45830.75</v>
      </c>
      <c r="EC37" s="196">
        <f>SUM(Matches!S35:S38)</f>
        <v>10</v>
      </c>
      <c r="ED37" s="196" t="str">
        <f>INDEX(Language!A1:K117,MATCH(Setup!B38,Language!B1:B117,0),MATCH(Setup!C5,Language!A1:J1,0))</f>
        <v>Pachuca</v>
      </c>
    </row>
    <row r="38" spans="1:134" x14ac:dyDescent="0.25">
      <c r="A38" s="194">
        <f>VLOOKUP(B38,CW37:CX41,2,FALSE)</f>
        <v>2</v>
      </c>
      <c r="B38" s="195" t="str">
        <f t="shared" ref="B38:B40" si="68">ED28</f>
        <v>Borussia Dortmund</v>
      </c>
      <c r="C38" s="194">
        <f>SUMPRODUCT((CZ3:CZ54=B38)*(DD3:DD54="W"))+SUMPRODUCT((DC3:DC54=B38)*(DE3:DE54="W"))</f>
        <v>0</v>
      </c>
      <c r="D38" s="194">
        <f>SUMPRODUCT((CZ3:CZ54=B38)*(DD3:DD54="D"))+SUMPRODUCT((DC3:DC54=B38)*(DE3:DE54="D"))</f>
        <v>0</v>
      </c>
      <c r="E38" s="194">
        <f>SUMPRODUCT((CZ3:CZ54=B38)*(DD3:DD54="L"))+SUMPRODUCT((DC3:DC54=B38)*(DE3:DE54="L"))</f>
        <v>0</v>
      </c>
      <c r="F38" s="194">
        <f>SUMIF(CZ3:CZ72,B38,DA3:DA72)+SUMIF(DC3:DC72,B38,DB3:DB72)</f>
        <v>0</v>
      </c>
      <c r="G38" s="194">
        <f>SUMIF(DC3:DC72,B38,DA3:DA72)+SUMIF(CZ3:CZ72,B38,DB3:DB72)</f>
        <v>0</v>
      </c>
      <c r="H38" s="194">
        <f t="shared" si="64"/>
        <v>1000</v>
      </c>
      <c r="I38" s="194">
        <f t="shared" si="65"/>
        <v>0</v>
      </c>
      <c r="J38" s="194">
        <f>IF(Setup!G29&lt;&gt;"",Setup!G29,20)</f>
        <v>20</v>
      </c>
      <c r="K38" s="194">
        <f>IF(COUNTIF(I37:I41,4)&lt;&gt;4,RANK(I38,I37:I41),I90)</f>
        <v>1</v>
      </c>
      <c r="M38" s="194">
        <f>SUMPRODUCT((K37:K40=K38)*(J37:J40&lt;J38))+K38</f>
        <v>3</v>
      </c>
      <c r="N38" s="195" t="str">
        <f>INDEX(B37:B41,MATCH(2,M37:M41,0),0)</f>
        <v>Ulsan HD</v>
      </c>
      <c r="O38" s="194">
        <f>INDEX(K37:K41,MATCH(N38,B37:B41,0),0)</f>
        <v>1</v>
      </c>
      <c r="P38" s="194" t="str">
        <f>IF(P37&lt;&gt;"",N38,"")</f>
        <v>Ulsan HD</v>
      </c>
      <c r="Q38" s="194" t="str">
        <f>IF(Q37&lt;&gt;"",N39,"")</f>
        <v/>
      </c>
      <c r="R38" s="194" t="str">
        <f>IF(R37&lt;&gt;"",N40,"")</f>
        <v/>
      </c>
      <c r="S38" s="194" t="str">
        <f>IF(S37&lt;&gt;"",N41,"")</f>
        <v/>
      </c>
      <c r="U38" s="194" t="str">
        <f t="shared" ref="U38:U40" si="69">IF(P38&lt;&gt;"",P38,"")</f>
        <v>Ulsan HD</v>
      </c>
      <c r="V38" s="194">
        <f>SUMPRODUCT((CZ3:CZ54=U38)*(DC3:DC54=U39)*(DD3:DD54="W"))+SUMPRODUCT((CZ3:CZ54=U38)*(DC3:DC54=U40)*(DD3:DD54="W"))+SUMPRODUCT((CZ3:CZ54=U38)*(DC3:DC54=U41)*(DD3:DD54="W"))+SUMPRODUCT((CZ3:CZ54=U38)*(DC3:DC54=U37)*(DD3:DD54="W"))+SUMPRODUCT((CZ3:CZ54=U39)*(DC3:DC54=U38)*(DE3:DE54="W"))+SUMPRODUCT((CZ3:CZ54=U40)*(DC3:DC54=U38)*(DE3:DE54="W"))+SUMPRODUCT((CZ3:CZ54=U41)*(DC3:DC54=U38)*(DE3:DE54="W"))+SUMPRODUCT((CZ3:CZ54=U37)*(DC3:DC54=U38)*(DE3:DE54="W"))</f>
        <v>0</v>
      </c>
      <c r="W38" s="194">
        <f>SUMPRODUCT((CZ3:CZ54=U38)*(DC3:DC54=U39)*(DD3:DD54="D"))+SUMPRODUCT((CZ3:CZ54=U38)*(DC3:DC54=U40)*(DD3:DD54="D"))+SUMPRODUCT((CZ3:CZ54=U38)*(DC3:DC54=U41)*(DD3:DD54="D"))+SUMPRODUCT((CZ3:CZ54=U38)*(DC3:DC54=U37)*(DD3:DD54="D"))+SUMPRODUCT((CZ3:CZ54=U39)*(DC3:DC54=U38)*(DD3:DD54="D"))+SUMPRODUCT((CZ3:CZ54=U40)*(DC3:DC54=U38)*(DD3:DD54="D"))+SUMPRODUCT((CZ3:CZ54=U41)*(DC3:DC54=U38)*(DD3:DD54="D"))+SUMPRODUCT((CZ3:CZ54=U37)*(DC3:DC54=U38)*(DD3:DD54="D"))</f>
        <v>0</v>
      </c>
      <c r="X38" s="194">
        <f>SUMPRODUCT((CZ3:CZ54=U38)*(DC3:DC54=U39)*(DD3:DD54="L"))+SUMPRODUCT((CZ3:CZ54=U38)*(DC3:DC54=U40)*(DD3:DD54="L"))+SUMPRODUCT((CZ3:CZ54=U38)*(DC3:DC54=U41)*(DD3:DD54="L"))+SUMPRODUCT((CZ3:CZ54=U38)*(DC3:DC54=U37)*(DD3:DD54="L"))+SUMPRODUCT((CZ3:CZ54=U39)*(DC3:DC54=U38)*(DE3:DE54="L"))+SUMPRODUCT((CZ3:CZ54=U40)*(DC3:DC54=U38)*(DE3:DE54="L"))+SUMPRODUCT((CZ3:CZ54=U41)*(DC3:DC54=U38)*(DE3:DE54="L"))+SUMPRODUCT((CZ3:CZ54=U37)*(DC3:DC54=U38)*(DE3:DE54="L"))</f>
        <v>0</v>
      </c>
      <c r="Y38" s="194">
        <f>SUMPRODUCT((CZ3:CZ54=U38)*(DC3:DC54=U39)*DA3:DA54)+SUMPRODUCT((CZ3:CZ54=U38)*(DC3:DC54=U40)*DA3:DA54)+SUMPRODUCT((CZ3:CZ54=U38)*(DC3:DC54=U41)*DA3:DA54)+SUMPRODUCT((CZ3:CZ54=U38)*(DC3:DC54=U37)*DA3:DA54)+SUMPRODUCT((CZ3:CZ54=U39)*(DC3:DC54=U38)*DB3:DB54)+SUMPRODUCT((CZ3:CZ54=U40)*(DC3:DC54=U38)*DB3:DB54)+SUMPRODUCT((CZ3:CZ54=U41)*(DC3:DC54=U38)*DB3:DB54)+SUMPRODUCT((CZ3:CZ54=U37)*(DC3:DC54=U38)*DB3:DB54)</f>
        <v>0</v>
      </c>
      <c r="Z38" s="194">
        <f>SUMPRODUCT((CZ3:CZ54=U38)*(DC3:DC54=U39)*DB3:DB54)+SUMPRODUCT((CZ3:CZ54=U38)*(DC3:DC54=U40)*DB3:DB54)+SUMPRODUCT((CZ3:CZ54=U38)*(DC3:DC54=U41)*DB3:DB54)+SUMPRODUCT((CZ3:CZ54=U38)*(DC3:DC54=U37)*DB3:DB54)+SUMPRODUCT((CZ3:CZ54=U39)*(DC3:DC54=U38)*DA3:DA54)+SUMPRODUCT((CZ3:CZ54=U40)*(DC3:DC54=U38)*DA3:DA54)+SUMPRODUCT((CZ3:CZ54=U41)*(DC3:DC54=U38)*DA3:DA54)+SUMPRODUCT((CZ3:CZ54=U37)*(DC3:DC54=U38)*DA3:DA54)</f>
        <v>0</v>
      </c>
      <c r="AA38" s="194">
        <f>Y38-Z38+1000</f>
        <v>1000</v>
      </c>
      <c r="AB38" s="194">
        <f t="shared" si="66"/>
        <v>0</v>
      </c>
      <c r="AC38" s="194">
        <f>IF(U38&lt;&gt;"",VLOOKUP(U38,B4:H52,7,FALSE),"")</f>
        <v>1000</v>
      </c>
      <c r="AD38" s="194">
        <f>IF(U38&lt;&gt;"",VLOOKUP(U38,B4:H52,5,FALSE),"")</f>
        <v>0</v>
      </c>
      <c r="AE38" s="194">
        <f>IF(U38&lt;&gt;"",VLOOKUP(U38,B4:J52,9,FALSE),"")</f>
        <v>11</v>
      </c>
      <c r="AF38" s="194">
        <f t="shared" si="67"/>
        <v>0</v>
      </c>
      <c r="AG38" s="194">
        <f>IF(U38&lt;&gt;"",RANK(AF38,AF37:AF41),"")</f>
        <v>1</v>
      </c>
      <c r="AH38" s="194">
        <f>IF(U38&lt;&gt;"",SUMPRODUCT((AF37:AF41=AF38)*(AA37:AA41&gt;AA38)),"")</f>
        <v>0</v>
      </c>
      <c r="AI38" s="194">
        <f>IF(U38&lt;&gt;"",SUMPRODUCT((AF37:AF41=AF38)*(AA37:AA41=AA38)*(Y37:Y41&gt;Y38)),"")</f>
        <v>0</v>
      </c>
      <c r="AJ38" s="194">
        <f>IF(U38&lt;&gt;"",SUMPRODUCT((AF37:AF41=AF38)*(AA37:AA41=AA38)*(Y37:Y41=Y38)*(AC37:AC41&gt;AC38)),"")</f>
        <v>0</v>
      </c>
      <c r="AK38" s="194">
        <f>IF(U38&lt;&gt;"",SUMPRODUCT((AF37:AF41=AF38)*(AA37:AA41=AA38)*(Y37:Y41=Y38)*(AC37:AC41=AC38)*(AD37:AD41&gt;AD38)),"")</f>
        <v>0</v>
      </c>
      <c r="AL38" s="194">
        <f>IF(U38&lt;&gt;"",SUMPRODUCT((AF37:AF41=AF38)*(AA37:AA41=AA38)*(Y37:Y41=Y38)*(AC37:AC41=AC38)*(AD37:AD41=AD38)*(AE37:AE41&gt;AE38)),"")</f>
        <v>2</v>
      </c>
      <c r="AM38" s="194">
        <f>IF(U38&lt;&gt;"",IF(AM90&lt;&gt;"",IF(T88=3,AM90,AM90+T88),SUM(AG38:AL38)),"")</f>
        <v>3</v>
      </c>
      <c r="AN38" s="194" t="str">
        <f>IF(U38&lt;&gt;"",INDEX(U37:U41,MATCH(2,AM37:AM41,0),0),"")</f>
        <v>Borussia Dortmund</v>
      </c>
      <c r="AO38" s="194" t="str">
        <f>IF(Q37&lt;&gt;"",Q37,"")</f>
        <v/>
      </c>
      <c r="AP38" s="194">
        <f>SUMPRODUCT((CZ3:CZ54=AO38)*(DC3:DC54=AO39)*(DD3:DD54="W"))+SUMPRODUCT((CZ3:CZ54=AO38)*(DC3:DC54=AO40)*(DD3:DD54="W"))+SUMPRODUCT((CZ3:CZ54=AO38)*(DC3:DC54=AO41)*(DD3:DD54="W"))+SUMPRODUCT((CZ3:CZ54=AO39)*(DC3:DC54=AO38)*(DE3:DE54="W"))+SUMPRODUCT((CZ3:CZ54=AO40)*(DC3:DC54=AO38)*(DE3:DE54="W"))+SUMPRODUCT((CZ3:CZ54=AO41)*(DC3:DC54=AO38)*(DE3:DE54="W"))</f>
        <v>0</v>
      </c>
      <c r="AQ38" s="194">
        <f>SUMPRODUCT((CZ3:CZ54=AO38)*(DC3:DC54=AO39)*(DD3:DD54="D"))+SUMPRODUCT((CZ3:CZ54=AO38)*(DC3:DC54=AO40)*(DD3:DD54="D"))+SUMPRODUCT((CZ3:CZ54=AO38)*(DC3:DC54=AO41)*(DD3:DD54="D"))+SUMPRODUCT((CZ3:CZ54=AO39)*(DC3:DC54=AO38)*(DD3:DD54="D"))+SUMPRODUCT((CZ3:CZ54=AO40)*(DC3:DC54=AO38)*(DD3:DD54="D"))+SUMPRODUCT((CZ3:CZ54=AO41)*(DC3:DC54=AO38)*(DD3:DD54="D"))</f>
        <v>0</v>
      </c>
      <c r="AR38" s="194">
        <f>SUMPRODUCT((CZ3:CZ54=AO38)*(DC3:DC54=AO39)*(DD3:DD54="L"))+SUMPRODUCT((CZ3:CZ54=AO38)*(DC3:DC54=AO40)*(DD3:DD54="L"))+SUMPRODUCT((CZ3:CZ54=AO38)*(DC3:DC54=AO41)*(DD3:DD54="L"))+SUMPRODUCT((CZ3:CZ54=AO39)*(DC3:DC54=AO38)*(DE3:DE54="L"))+SUMPRODUCT((CZ3:CZ54=AO40)*(DC3:DC54=AO38)*(DE3:DE54="L"))+SUMPRODUCT((CZ3:CZ54=AO41)*(DC3:DC54=AO38)*(DE3:DE54="L"))</f>
        <v>0</v>
      </c>
      <c r="AS38" s="194">
        <f>SUMPRODUCT((CZ3:CZ54=AO38)*(DC3:DC54=AO39)*DA3:DA54)+SUMPRODUCT((CZ3:CZ54=AO38)*(DC3:DC54=AO40)*DA3:DA54)+SUMPRODUCT((CZ3:CZ54=AO38)*(DC3:DC54=AO41)*DA3:DA54)+SUMPRODUCT((CZ3:CZ54=AO38)*(DC3:DC54=AO37)*DA3:DA54)+SUMPRODUCT((CZ3:CZ54=AO39)*(DC3:DC54=AO38)*DB3:DB54)+SUMPRODUCT((CZ3:CZ54=AO40)*(DC3:DC54=AO38)*DB3:DB54)+SUMPRODUCT((CZ3:CZ54=AO41)*(DC3:DC54=AO38)*DB3:DB54)+SUMPRODUCT((CZ3:CZ54=AO37)*(DC3:DC54=AO38)*DB3:DB54)</f>
        <v>0</v>
      </c>
      <c r="AT38" s="194">
        <f>SUMPRODUCT((CZ3:CZ54=AO38)*(DC3:DC54=AO39)*DB3:DB54)+SUMPRODUCT((CZ3:CZ54=AO38)*(DC3:DC54=AO40)*DB3:DB54)+SUMPRODUCT((CZ3:CZ54=AO38)*(DC3:DC54=AO41)*DB3:DB54)+SUMPRODUCT((CZ3:CZ54=AO38)*(DC3:DC54=AO37)*DB3:DB54)+SUMPRODUCT((CZ3:CZ54=AO39)*(DC3:DC54=AO38)*DA3:DA54)+SUMPRODUCT((CZ3:CZ54=AO40)*(DC3:DC54=AO38)*DA3:DA54)+SUMPRODUCT((CZ3:CZ54=AO41)*(DC3:DC54=AO38)*DA3:DA54)+SUMPRODUCT((CZ3:CZ54=AO37)*(DC3:DC54=AO38)*DA3:DA54)</f>
        <v>0</v>
      </c>
      <c r="AU38" s="194">
        <f>AS38-AT38+1000</f>
        <v>1000</v>
      </c>
      <c r="AV38" s="194" t="str">
        <f t="shared" ref="AV38:AV40" si="70">IF(AO38&lt;&gt;"",AP38*3+AQ38*1,"")</f>
        <v/>
      </c>
      <c r="AW38" s="194" t="str">
        <f>IF(AO38&lt;&gt;"",VLOOKUP(AO38,B4:H52,7,FALSE),"")</f>
        <v/>
      </c>
      <c r="AX38" s="194" t="str">
        <f>IF(AO38&lt;&gt;"",VLOOKUP(AO38,B4:H52,5,FALSE),"")</f>
        <v/>
      </c>
      <c r="AY38" s="194" t="str">
        <f>IF(AO38&lt;&gt;"",VLOOKUP(AO38,B4:J52,9,FALSE),"")</f>
        <v/>
      </c>
      <c r="AZ38" s="194" t="str">
        <f t="shared" ref="AZ38:AZ40" si="71">AV38</f>
        <v/>
      </c>
      <c r="BA38" s="194" t="str">
        <f>IF(AO38&lt;&gt;"",RANK(AZ38,AZ37:AZ40),"")</f>
        <v/>
      </c>
      <c r="BB38" s="194" t="str">
        <f>IF(AO38&lt;&gt;"",SUMPRODUCT((AZ37:AZ41=AZ38)*(AU37:AU41&gt;AU38)),"")</f>
        <v/>
      </c>
      <c r="BC38" s="194" t="str">
        <f>IF(AO38&lt;&gt;"",SUMPRODUCT((AZ37:AZ41=AZ38)*(AU37:AU41=AU38)*(AS37:AS41&gt;AS38)),"")</f>
        <v/>
      </c>
      <c r="BD38" s="194" t="str">
        <f>IF(AO38&lt;&gt;"",SUMPRODUCT((AZ37:AZ41=AZ38)*(AU37:AU41=AU38)*(AS37:AS41=AS38)*(AW37:AW41&gt;AW38)),"")</f>
        <v/>
      </c>
      <c r="BE38" s="194" t="str">
        <f>IF(AO38&lt;&gt;"",SUMPRODUCT((AZ37:AZ41=AZ38)*(AU37:AU41=AU38)*(AS37:AS41=AS38)*(AW37:AW41=AW38)*(AX37:AX41&gt;AX38)),"")</f>
        <v/>
      </c>
      <c r="BF38" s="194" t="str">
        <f>IF(AO38&lt;&gt;"",SUMPRODUCT((AZ37:AZ41=AZ38)*(AU37:AU41=AU38)*(AS37:AS41=AS38)*(AW37:AW41=AW38)*(AX37:AX41=AX38)*(AY37:AY41&gt;AY38)),"")</f>
        <v/>
      </c>
      <c r="BG38" s="194" t="str">
        <f>IF(AO38&lt;&gt;"",IF(BG90&lt;&gt;"",IF(AN88=3,BG90,BG90+AN88),SUM(BA38:BF38)+1),"")</f>
        <v/>
      </c>
      <c r="BH38" s="194" t="str">
        <f>IF(AO38&lt;&gt;"",INDEX(AO38:AO41,MATCH(2,BG38:BG41,0),0),"")</f>
        <v/>
      </c>
      <c r="CW38" s="194" t="str">
        <f>IF(BH38&lt;&gt;"",BH38,IF(AN38&lt;&gt;"",AN38,N38))</f>
        <v>Borussia Dortmund</v>
      </c>
      <c r="CX38" s="194">
        <v>2</v>
      </c>
      <c r="CY38" s="194">
        <v>36</v>
      </c>
      <c r="CZ38" s="194" t="str">
        <f>Matches!H39</f>
        <v>Porto</v>
      </c>
      <c r="DA38" s="194">
        <f>IF(CZ2&lt;&gt;"",IF(AND(Matches!J39&lt;&gt;"",Matches!K39&lt;&gt;""),Matches!J39,0),"")</f>
        <v>0</v>
      </c>
      <c r="DB38" s="194">
        <f>IF(CZ2&lt;&gt;"",IF(AND(Matches!J39&lt;&gt;"",Matches!K39&lt;&gt;""),Matches!K39,0),"")</f>
        <v>0</v>
      </c>
      <c r="DC38" s="194" t="str">
        <f>Matches!M39</f>
        <v>Al Ahly</v>
      </c>
      <c r="DD38" s="194" t="str">
        <f>IF(AND(Matches!J39&lt;&gt;"",Matches!K39&lt;&gt;""),IF(DA38&gt;DB38,"W",IF(DA38=DB38,"D","L")),"")</f>
        <v/>
      </c>
      <c r="DE38" s="194" t="str">
        <f t="shared" si="0"/>
        <v/>
      </c>
      <c r="DN38" s="20" t="str">
        <f>Setup!E39</f>
        <v>AUT</v>
      </c>
      <c r="DP38" s="212"/>
      <c r="DQ38" s="199"/>
      <c r="DR38" s="200" t="str">
        <f t="shared" si="15"/>
        <v>Salzburg</v>
      </c>
      <c r="DS38" s="201" t="s">
        <v>635</v>
      </c>
      <c r="DT38" s="200"/>
      <c r="DU38" s="196">
        <v>32</v>
      </c>
      <c r="DV38" s="202" t="s">
        <v>105</v>
      </c>
      <c r="DW38" s="20"/>
      <c r="DX38" s="9">
        <v>32</v>
      </c>
      <c r="DY38" s="203">
        <f t="shared" si="13"/>
        <v>45830.875</v>
      </c>
      <c r="DZ38" s="204">
        <v>45830.875</v>
      </c>
      <c r="EA38" s="205">
        <f t="shared" si="14"/>
        <v>45830.875</v>
      </c>
      <c r="EB38" s="204">
        <v>45830.875</v>
      </c>
      <c r="ED38" s="196" t="str">
        <f>INDEX(Language!A1:K117,MATCH(Setup!B39,Language!B1:B117,0),MATCH(Setup!C5,Language!A1:J1,0))</f>
        <v>Salzburg</v>
      </c>
    </row>
    <row r="39" spans="1:134" x14ac:dyDescent="0.25">
      <c r="A39" s="194">
        <f>VLOOKUP(B39,CW37:CX41,2,FALSE)</f>
        <v>3</v>
      </c>
      <c r="B39" s="195" t="str">
        <f t="shared" si="68"/>
        <v>Ulsan HD</v>
      </c>
      <c r="C39" s="194">
        <f>SUMPRODUCT((CZ3:CZ54=B39)*(DD3:DD54="W"))+SUMPRODUCT((DC3:DC54=B39)*(DE3:DE54="W"))</f>
        <v>0</v>
      </c>
      <c r="D39" s="194">
        <f>SUMPRODUCT((CZ3:CZ54=B39)*(DD3:DD54="D"))+SUMPRODUCT((DC3:DC54=B39)*(DE3:DE54="D"))</f>
        <v>0</v>
      </c>
      <c r="E39" s="194">
        <f>SUMPRODUCT((CZ3:CZ54=B39)*(DD3:DD54="L"))+SUMPRODUCT((DC3:DC54=B39)*(DE3:DE54="L"))</f>
        <v>0</v>
      </c>
      <c r="F39" s="194">
        <f>SUMIF(CZ3:CZ72,B39,DA3:DA72)+SUMIF(DC3:DC72,B39,DB3:DB72)</f>
        <v>0</v>
      </c>
      <c r="G39" s="194">
        <f>SUMIF(DC3:DC72,B39,DA3:DA72)+SUMIF(CZ3:CZ72,B39,DB3:DB72)</f>
        <v>0</v>
      </c>
      <c r="H39" s="194">
        <f t="shared" si="64"/>
        <v>1000</v>
      </c>
      <c r="I39" s="194">
        <f t="shared" si="65"/>
        <v>0</v>
      </c>
      <c r="J39" s="194">
        <f>IF(Setup!G30&lt;&gt;"",Setup!G30,11)</f>
        <v>11</v>
      </c>
      <c r="K39" s="194">
        <f>IF(COUNTIF(I37:I41,4)&lt;&gt;4,RANK(I39,I37:I41),I91)</f>
        <v>1</v>
      </c>
      <c r="M39" s="194">
        <f>SUMPRODUCT((K37:K40=K39)*(J37:J40&lt;J39))+K39</f>
        <v>2</v>
      </c>
      <c r="N39" s="195" t="str">
        <f>INDEX(B37:B41,MATCH(3,M37:M41,0),0)</f>
        <v>Borussia Dortmund</v>
      </c>
      <c r="O39" s="194">
        <f>INDEX(K37:K41,MATCH(N39,B37:B41,0),0)</f>
        <v>1</v>
      </c>
      <c r="P39" s="194" t="str">
        <f>IF(AND(P38&lt;&gt;"",O39=1),N39,"")</f>
        <v>Borussia Dortmund</v>
      </c>
      <c r="Q39" s="194" t="str">
        <f>IF(AND(Q38&lt;&gt;"",O40=2),N40,"")</f>
        <v/>
      </c>
      <c r="R39" s="194" t="str">
        <f>IF(AND(R38&lt;&gt;"",O41=3),N41,"")</f>
        <v/>
      </c>
      <c r="U39" s="194" t="str">
        <f t="shared" si="69"/>
        <v>Borussia Dortmund</v>
      </c>
      <c r="V39" s="194">
        <f>SUMPRODUCT((CZ3:CZ54=U39)*(DC3:DC54=U40)*(DD3:DD54="W"))+SUMPRODUCT((CZ3:CZ54=U39)*(DC3:DC54=U41)*(DD3:DD54="W"))+SUMPRODUCT((CZ3:CZ54=U39)*(DC3:DC54=U37)*(DD3:DD54="W"))+SUMPRODUCT((CZ3:CZ54=U39)*(DC3:DC54=U38)*(DD3:DD54="W"))+SUMPRODUCT((CZ3:CZ54=U40)*(DC3:DC54=U39)*(DE3:DE54="W"))+SUMPRODUCT((CZ3:CZ54=U41)*(DC3:DC54=U39)*(DE3:DE54="W"))+SUMPRODUCT((CZ3:CZ54=U37)*(DC3:DC54=U39)*(DE3:DE54="W"))+SUMPRODUCT((CZ3:CZ54=U38)*(DC3:DC54=U39)*(DE3:DE54="W"))</f>
        <v>0</v>
      </c>
      <c r="W39" s="194">
        <f>SUMPRODUCT((CZ3:CZ54=U39)*(DC3:DC54=U40)*(DD3:DD54="D"))+SUMPRODUCT((CZ3:CZ54=U39)*(DC3:DC54=U41)*(DD3:DD54="D"))+SUMPRODUCT((CZ3:CZ54=U39)*(DC3:DC54=U37)*(DD3:DD54="D"))+SUMPRODUCT((CZ3:CZ54=U39)*(DC3:DC54=U38)*(DD3:DD54="D"))+SUMPRODUCT((CZ3:CZ54=U40)*(DC3:DC54=U39)*(DD3:DD54="D"))+SUMPRODUCT((CZ3:CZ54=U41)*(DC3:DC54=U39)*(DD3:DD54="D"))+SUMPRODUCT((CZ3:CZ54=U37)*(DC3:DC54=U39)*(DD3:DD54="D"))+SUMPRODUCT((CZ3:CZ54=U38)*(DC3:DC54=U39)*(DD3:DD54="D"))</f>
        <v>0</v>
      </c>
      <c r="X39" s="194">
        <f>SUMPRODUCT((CZ3:CZ54=U39)*(DC3:DC54=U40)*(DD3:DD54="L"))+SUMPRODUCT((CZ3:CZ54=U39)*(DC3:DC54=U41)*(DD3:DD54="L"))+SUMPRODUCT((CZ3:CZ54=U39)*(DC3:DC54=U37)*(DD3:DD54="L"))+SUMPRODUCT((CZ3:CZ54=U39)*(DC3:DC54=U38)*(DD3:DD54="L"))+SUMPRODUCT((CZ3:CZ54=U40)*(DC3:DC54=U39)*(DE3:DE54="L"))+SUMPRODUCT((CZ3:CZ54=U41)*(DC3:DC54=U39)*(DE3:DE54="L"))+SUMPRODUCT((CZ3:CZ54=U37)*(DC3:DC54=U39)*(DE3:DE54="L"))+SUMPRODUCT((CZ3:CZ54=U38)*(DC3:DC54=U39)*(DE3:DE54="L"))</f>
        <v>0</v>
      </c>
      <c r="Y39" s="194">
        <f>SUMPRODUCT((CZ3:CZ54=U39)*(DC3:DC54=U40)*DA3:DA54)+SUMPRODUCT((CZ3:CZ54=U39)*(DC3:DC54=U41)*DA3:DA54)+SUMPRODUCT((CZ3:CZ54=U39)*(DC3:DC54=U37)*DA3:DA54)+SUMPRODUCT((CZ3:CZ54=U39)*(DC3:DC54=U38)*DA3:DA54)+SUMPRODUCT((CZ3:CZ54=U40)*(DC3:DC54=U39)*DB3:DB54)+SUMPRODUCT((CZ3:CZ54=U41)*(DC3:DC54=U39)*DB3:DB54)+SUMPRODUCT((CZ3:CZ54=U37)*(DC3:DC54=U39)*DB3:DB54)+SUMPRODUCT((CZ3:CZ54=U38)*(DC3:DC54=U39)*DB3:DB54)</f>
        <v>0</v>
      </c>
      <c r="Z39" s="194">
        <f>SUMPRODUCT((CZ3:CZ54=U39)*(DC3:DC54=U40)*DB3:DB54)+SUMPRODUCT((CZ3:CZ54=U39)*(DC3:DC54=U41)*DB3:DB54)+SUMPRODUCT((CZ3:CZ54=U39)*(DC3:DC54=U37)*DB3:DB54)+SUMPRODUCT((CZ3:CZ54=U39)*(DC3:DC54=U38)*DB3:DB54)+SUMPRODUCT((CZ3:CZ54=U40)*(DC3:DC54=U39)*DA3:DA54)+SUMPRODUCT((CZ3:CZ54=U41)*(DC3:DC54=U39)*DA3:DA54)+SUMPRODUCT((CZ3:CZ54=U37)*(DC3:DC54=U39)*DA3:DA54)+SUMPRODUCT((CZ3:CZ54=U38)*(DC3:DC54=U39)*DA3:DA54)</f>
        <v>0</v>
      </c>
      <c r="AA39" s="194">
        <f>Y39-Z39+1000</f>
        <v>1000</v>
      </c>
      <c r="AB39" s="194">
        <f t="shared" si="66"/>
        <v>0</v>
      </c>
      <c r="AC39" s="194">
        <f>IF(U39&lt;&gt;"",VLOOKUP(U39,B4:H52,7,FALSE),"")</f>
        <v>1000</v>
      </c>
      <c r="AD39" s="194">
        <f>IF(U39&lt;&gt;"",VLOOKUP(U39,B4:H52,5,FALSE),"")</f>
        <v>0</v>
      </c>
      <c r="AE39" s="194">
        <f>IF(U39&lt;&gt;"",VLOOKUP(U39,B4:J52,9,FALSE),"")</f>
        <v>20</v>
      </c>
      <c r="AF39" s="194">
        <f t="shared" si="67"/>
        <v>0</v>
      </c>
      <c r="AG39" s="194">
        <f>IF(U39&lt;&gt;"",RANK(AF39,AF37:AF41),"")</f>
        <v>1</v>
      </c>
      <c r="AH39" s="194">
        <f>IF(U39&lt;&gt;"",SUMPRODUCT((AF37:AF41=AF39)*(AA37:AA41&gt;AA39)),"")</f>
        <v>0</v>
      </c>
      <c r="AI39" s="194">
        <f>IF(U39&lt;&gt;"",SUMPRODUCT((AF37:AF41=AF39)*(AA37:AA41=AA39)*(Y37:Y41&gt;Y39)),"")</f>
        <v>0</v>
      </c>
      <c r="AJ39" s="194">
        <f>IF(U39&lt;&gt;"",SUMPRODUCT((AF37:AF41=AF39)*(AA37:AA41=AA39)*(Y37:Y41=Y39)*(AC37:AC41&gt;AC39)),"")</f>
        <v>0</v>
      </c>
      <c r="AK39" s="194">
        <f>IF(U39&lt;&gt;"",SUMPRODUCT((AF37:AF41=AF39)*(AA37:AA41=AA39)*(Y37:Y41=Y39)*(AC37:AC41=AC39)*(AD37:AD41&gt;AD39)),"")</f>
        <v>0</v>
      </c>
      <c r="AL39" s="194">
        <f>IF(U39&lt;&gt;"",SUMPRODUCT((AF37:AF41=AF39)*(AA37:AA41=AA39)*(Y37:Y41=Y39)*(AC37:AC41=AC39)*(AD37:AD41=AD39)*(AE37:AE41&gt;AE39)),"")</f>
        <v>1</v>
      </c>
      <c r="AM39" s="194">
        <f>IF(U39&lt;&gt;"",IF(AM91&lt;&gt;"",IF(T88=3,AM91,AM91+T88),SUM(AG39:AL39)),"")</f>
        <v>2</v>
      </c>
      <c r="AN39" s="194" t="str">
        <f>IF(U39&lt;&gt;"",INDEX(U37:U41,MATCH(3,AM37:AM41,0),0),"")</f>
        <v>Ulsan HD</v>
      </c>
      <c r="AO39" s="194" t="str">
        <f>IF(Q38&lt;&gt;"",Q38,"")</f>
        <v/>
      </c>
      <c r="AP39" s="194">
        <f>SUMPRODUCT((CZ3:CZ54=AO39)*(DC3:DC54=AO40)*(DD3:DD54="W"))+SUMPRODUCT((CZ3:CZ54=AO39)*(DC3:DC54=AO41)*(DD3:DD54="W"))+SUMPRODUCT((CZ3:CZ54=AO39)*(DC3:DC54=AO38)*(DD3:DD54="W"))+SUMPRODUCT((CZ3:CZ54=AO40)*(DC3:DC54=AO39)*(DE3:DE54="W"))+SUMPRODUCT((CZ3:CZ54=AO41)*(DC3:DC54=AO39)*(DE3:DE54="W"))+SUMPRODUCT((CZ3:CZ54=AO38)*(DC3:DC54=AO39)*(DE3:DE54="W"))</f>
        <v>0</v>
      </c>
      <c r="AQ39" s="194">
        <f>SUMPRODUCT((CZ3:CZ54=AO39)*(DC3:DC54=AO40)*(DD3:DD54="D"))+SUMPRODUCT((CZ3:CZ54=AO39)*(DC3:DC54=AO41)*(DD3:DD54="D"))+SUMPRODUCT((CZ3:CZ54=AO39)*(DC3:DC54=AO38)*(DD3:DD54="D"))+SUMPRODUCT((CZ3:CZ54=AO40)*(DC3:DC54=AO39)*(DD3:DD54="D"))+SUMPRODUCT((CZ3:CZ54=AO41)*(DC3:DC54=AO39)*(DD3:DD54="D"))+SUMPRODUCT((CZ3:CZ54=AO38)*(DC3:DC54=AO39)*(DD3:DD54="D"))</f>
        <v>0</v>
      </c>
      <c r="AR39" s="194">
        <f>SUMPRODUCT((CZ3:CZ54=AO39)*(DC3:DC54=AO40)*(DD3:DD54="L"))+SUMPRODUCT((CZ3:CZ54=AO39)*(DC3:DC54=AO41)*(DD3:DD54="L"))+SUMPRODUCT((CZ3:CZ54=AO39)*(DC3:DC54=AO38)*(DD3:DD54="L"))+SUMPRODUCT((CZ3:CZ54=AO40)*(DC3:DC54=AO39)*(DE3:DE54="L"))+SUMPRODUCT((CZ3:CZ54=AO41)*(DC3:DC54=AO39)*(DE3:DE54="L"))+SUMPRODUCT((CZ3:CZ54=AO38)*(DC3:DC54=AO39)*(DE3:DE54="L"))</f>
        <v>0</v>
      </c>
      <c r="AS39" s="194">
        <f>SUMPRODUCT((CZ3:CZ54=AO39)*(DC3:DC54=AO40)*DA3:DA54)+SUMPRODUCT((CZ3:CZ54=AO39)*(DC3:DC54=AO41)*DA3:DA54)+SUMPRODUCT((CZ3:CZ54=AO39)*(DC3:DC54=AO37)*DA3:DA54)+SUMPRODUCT((CZ3:CZ54=AO39)*(DC3:DC54=AO38)*DA3:DA54)+SUMPRODUCT((CZ3:CZ54=AO40)*(DC3:DC54=AO39)*DB3:DB54)+SUMPRODUCT((CZ3:CZ54=AO41)*(DC3:DC54=AO39)*DB3:DB54)+SUMPRODUCT((CZ3:CZ54=AO37)*(DC3:DC54=AO39)*DB3:DB54)+SUMPRODUCT((CZ3:CZ54=AO38)*(DC3:DC54=AO39)*DB3:DB54)</f>
        <v>0</v>
      </c>
      <c r="AT39" s="194">
        <f>SUMPRODUCT((CZ3:CZ54=AO39)*(DC3:DC54=AO40)*DB3:DB54)+SUMPRODUCT((CZ3:CZ54=AO39)*(DC3:DC54=AO41)*DB3:DB54)+SUMPRODUCT((CZ3:CZ54=AO39)*(DC3:DC54=AO37)*DB3:DB54)+SUMPRODUCT((CZ3:CZ54=AO39)*(DC3:DC54=AO38)*DB3:DB54)+SUMPRODUCT((CZ3:CZ54=AO40)*(DC3:DC54=AO39)*DA3:DA54)+SUMPRODUCT((CZ3:CZ54=AO41)*(DC3:DC54=AO39)*DA3:DA54)+SUMPRODUCT((CZ3:CZ54=AO37)*(DC3:DC54=AO39)*DA3:DA54)+SUMPRODUCT((CZ3:CZ54=AO38)*(DC3:DC54=AO39)*DA3:DA54)</f>
        <v>0</v>
      </c>
      <c r="AU39" s="194">
        <f>AS39-AT39+1000</f>
        <v>1000</v>
      </c>
      <c r="AV39" s="194" t="str">
        <f t="shared" si="70"/>
        <v/>
      </c>
      <c r="AW39" s="194" t="str">
        <f>IF(AO39&lt;&gt;"",VLOOKUP(AO39,B4:H52,7,FALSE),"")</f>
        <v/>
      </c>
      <c r="AX39" s="194" t="str">
        <f>IF(AO39&lt;&gt;"",VLOOKUP(AO39,B4:H52,5,FALSE),"")</f>
        <v/>
      </c>
      <c r="AY39" s="194" t="str">
        <f>IF(AO39&lt;&gt;"",VLOOKUP(AO39,B4:J52,9,FALSE),"")</f>
        <v/>
      </c>
      <c r="AZ39" s="194" t="str">
        <f t="shared" si="71"/>
        <v/>
      </c>
      <c r="BA39" s="194" t="str">
        <f>IF(AO39&lt;&gt;"",RANK(AZ39,AZ37:AZ40),"")</f>
        <v/>
      </c>
      <c r="BB39" s="194" t="str">
        <f>IF(AO39&lt;&gt;"",SUMPRODUCT((AZ37:AZ41=AZ39)*(AU37:AU41&gt;AU39)),"")</f>
        <v/>
      </c>
      <c r="BC39" s="194" t="str">
        <f>IF(AO39&lt;&gt;"",SUMPRODUCT((AZ37:AZ41=AZ39)*(AU37:AU41=AU39)*(AS37:AS41&gt;AS39)),"")</f>
        <v/>
      </c>
      <c r="BD39" s="194" t="str">
        <f>IF(AO39&lt;&gt;"",SUMPRODUCT((AZ37:AZ41=AZ39)*(AU37:AU41=AU39)*(AS37:AS41=AS39)*(AW37:AW41&gt;AW39)),"")</f>
        <v/>
      </c>
      <c r="BE39" s="194" t="str">
        <f>IF(AO39&lt;&gt;"",SUMPRODUCT((AZ37:AZ41=AZ39)*(AU37:AU41=AU39)*(AS37:AS41=AS39)*(AW37:AW41=AW39)*(AX37:AX41&gt;AX39)),"")</f>
        <v/>
      </c>
      <c r="BF39" s="194" t="str">
        <f>IF(AO39&lt;&gt;"",SUMPRODUCT((AZ37:AZ41=AZ39)*(AU37:AU41=AU39)*(AS37:AS41=AS39)*(AW37:AW41=AW39)*(AX37:AX41=AX39)*(AY37:AY41&gt;AY39)),"")</f>
        <v/>
      </c>
      <c r="BG39" s="194" t="str">
        <f>IF(AO39&lt;&gt;"",IF(BG91&lt;&gt;"",IF(AN88=3,BG91,BG91+AN88),SUM(BA39:BF39)+1),"")</f>
        <v/>
      </c>
      <c r="BH39" s="194" t="str">
        <f>IF(AO39&lt;&gt;"",INDEX(AO38:AO41,MATCH(3,BG38:BG41,0),0),"")</f>
        <v/>
      </c>
      <c r="BI39" s="194" t="str">
        <f>IF(R37&lt;&gt;"",R37,"")</f>
        <v/>
      </c>
      <c r="BJ39" s="194">
        <f>SUMPRODUCT((CZ3:CZ54=BI39)*(DC3:DC54=BI40)*(DD3:DD54="W"))+SUMPRODUCT((CZ3:CZ54=BI39)*(DC3:DC54=BI41)*(DD3:DD54="W"))+SUMPRODUCT((CZ3:CZ54=BI39)*(DC3:DC54=BI54)*(DD3:DD54="W"))+SUMPRODUCT((CZ3:CZ54=BI40)*(DC3:DC54=BI39)*(DE3:DE54="W"))+SUMPRODUCT((CZ3:CZ54=BI41)*(DC3:DC54=BI39)*(DE3:DE54="W"))+SUMPRODUCT((CZ3:CZ54=BI54)*(DC3:DC54=BI39)*(DE3:DE54="W"))</f>
        <v>0</v>
      </c>
      <c r="BK39" s="194">
        <f>SUMPRODUCT((CZ3:CZ54=BI39)*(DC3:DC54=BI40)*(DD3:DD54="D"))+SUMPRODUCT((CZ3:CZ54=BI39)*(DC3:DC54=BI41)*(DD3:DD54="D"))+SUMPRODUCT((CZ3:CZ54=BI39)*(DC3:DC54=BI54)*(DD3:DD54="D"))+SUMPRODUCT((CZ3:CZ54=BI40)*(DC3:DC54=BI39)*(DD3:DD54="D"))+SUMPRODUCT((CZ3:CZ54=BI41)*(DC3:DC54=BI39)*(DD3:DD54="D"))+SUMPRODUCT((CZ3:CZ54=BI54)*(DC3:DC54=BI39)*(DD3:DD54="D"))</f>
        <v>0</v>
      </c>
      <c r="BL39" s="194">
        <f>SUMPRODUCT((CZ3:CZ54=BI39)*(DC3:DC54=BI40)*(DD3:DD54="L"))+SUMPRODUCT((CZ3:CZ54=BI39)*(DC3:DC54=BI41)*(DD3:DD54="L"))+SUMPRODUCT((CZ3:CZ54=BI39)*(DC3:DC54=BI54)*(DD3:DD54="L"))+SUMPRODUCT((CZ3:CZ54=BI40)*(DC3:DC54=BI39)*(DE3:DE54="L"))+SUMPRODUCT((CZ3:CZ54=BI41)*(DC3:DC54=BI39)*(DE3:DE54="L"))+SUMPRODUCT((CZ3:CZ54=BI54)*(DC3:DC54=BI39)*(DE3:DE54="L"))</f>
        <v>0</v>
      </c>
      <c r="BM39" s="194">
        <f>SUMPRODUCT((CZ3:CZ54=BI39)*(DC3:DC54=BI40)*DA3:DA54)+SUMPRODUCT((CZ3:CZ54=BI39)*(DC3:DC54=BI41)*DA3:DA54)+SUMPRODUCT((CZ3:CZ54=BI39)*(DC3:DC54=BI37)*DA3:DA54)+SUMPRODUCT((CZ3:CZ54=BI39)*(DC3:DC54=BI38)*DA3:DA54)+SUMPRODUCT((CZ3:CZ54=BI40)*(DC3:DC54=BI39)*DB3:DB54)+SUMPRODUCT((CZ3:CZ54=BI41)*(DC3:DC54=BI39)*DB3:DB54)+SUMPRODUCT((CZ3:CZ54=BI37)*(DC3:DC54=BI39)*DB3:DB54)+SUMPRODUCT((CZ3:CZ54=BI38)*(DC3:DC54=BI39)*DB3:DB54)</f>
        <v>0</v>
      </c>
      <c r="BN39" s="194">
        <f>SUMPRODUCT((CZ3:CZ54=BI39)*(DC3:DC54=BI40)*DB3:DB54)+SUMPRODUCT((CZ3:CZ54=BI39)*(DC3:DC54=BI41)*DB3:DB54)+SUMPRODUCT((CZ3:CZ54=BI39)*(DC3:DC54=BI37)*DB3:DB54)+SUMPRODUCT((CZ3:CZ54=BI39)*(DC3:DC54=BI38)*DB3:DB54)+SUMPRODUCT((CZ3:CZ54=BI40)*(DC3:DC54=BI39)*DA3:DA54)+SUMPRODUCT((CZ3:CZ54=BI41)*(DC3:DC54=BI39)*DA3:DA54)+SUMPRODUCT((CZ3:CZ54=BI37)*(DC3:DC54=BI39)*DA3:DA54)+SUMPRODUCT((CZ3:CZ54=BI38)*(DC3:DC54=BI39)*DA3:DA54)</f>
        <v>0</v>
      </c>
      <c r="BO39" s="194">
        <f>BM39-BN39+1000</f>
        <v>1000</v>
      </c>
      <c r="BP39" s="194" t="str">
        <f t="shared" ref="BP39:BP40" si="72">IF(BI39&lt;&gt;"",BJ39*3+BK39*1,"")</f>
        <v/>
      </c>
      <c r="BQ39" s="194" t="str">
        <f>IF(BI39&lt;&gt;"",VLOOKUP(BI39,B4:H52,7,FALSE),"")</f>
        <v/>
      </c>
      <c r="BR39" s="194" t="str">
        <f>IF(BI39&lt;&gt;"",VLOOKUP(BI39,B4:H52,5,FALSE),"")</f>
        <v/>
      </c>
      <c r="BS39" s="194" t="str">
        <f>IF(BI39&lt;&gt;"",VLOOKUP(BI39,B4:J52,9,FALSE),"")</f>
        <v/>
      </c>
      <c r="BT39" s="194" t="str">
        <f t="shared" ref="BT39:BT40" si="73">BP39</f>
        <v/>
      </c>
      <c r="BU39" s="194" t="str">
        <f>IF(BI39&lt;&gt;"",RANK(BT39,BT38:BT40),"")</f>
        <v/>
      </c>
      <c r="BV39" s="194" t="str">
        <f>IF(BI39&lt;&gt;"",SUMPRODUCT((BT37:BT41=BT39)*(BO37:BO41&gt;BO39)),"")</f>
        <v/>
      </c>
      <c r="BW39" s="194" t="str">
        <f>IF(BI39&lt;&gt;"",SUMPRODUCT((BT37:BT41=BT39)*(BO37:BO41=BO39)*(BM37:BM41&gt;BM39)),"")</f>
        <v/>
      </c>
      <c r="BX39" s="194" t="str">
        <f>IF(BI39&lt;&gt;"",SUMPRODUCT((BT37:BT41=BT39)*(BO37:BO41=BO39)*(BM37:BM41=BM39)*(BQ37:BQ41&gt;BQ39)),"")</f>
        <v/>
      </c>
      <c r="BY39" s="194" t="str">
        <f>IF(BI39&lt;&gt;"",SUMPRODUCT((BT37:BT41=BT39)*(BO37:BO41=BO39)*(BM37:BM41=BM39)*(BQ37:BQ41=BQ39)*(BR37:BR41&gt;BR39)),"")</f>
        <v/>
      </c>
      <c r="BZ39" s="194" t="str">
        <f>IF(BI39&lt;&gt;"",SUMPRODUCT((BT37:BT41=BT39)*(BO37:BO41=BO39)*(BM37:BM41=BM39)*(BQ37:BQ41=BQ39)*(BR37:BR41=BR39)*(BS37:BS41&gt;BS39)),"")</f>
        <v/>
      </c>
      <c r="CA39" s="194" t="str">
        <f>IF(BI39&lt;&gt;"",SUM(BU39:BZ39)+2,"")</f>
        <v/>
      </c>
      <c r="CB39" s="194" t="str">
        <f>IF(BI39&lt;&gt;"",INDEX(BI39:BI41,MATCH(3,CA39:CA41,0),0),"")</f>
        <v/>
      </c>
      <c r="CW39" s="194" t="str">
        <f>IF(CB39&lt;&gt;"",CB39,IF(BH39&lt;&gt;"",BH39,IF(AN39&lt;&gt;"",AN39,N39)))</f>
        <v>Ulsan HD</v>
      </c>
      <c r="CX39" s="194">
        <v>3</v>
      </c>
      <c r="CZ39" s="194" t="str">
        <f>Matches!H40</f>
        <v>Auckland City</v>
      </c>
      <c r="DA39" s="194">
        <f>IF(CZ2&lt;&gt;"",IF(AND(Matches!J40&lt;&gt;"",Matches!K40&lt;&gt;""),Matches!J40,0),"")</f>
        <v>0</v>
      </c>
      <c r="DB39" s="194">
        <f>IF(CZ2&lt;&gt;"",IF(AND(Matches!J40&lt;&gt;"",Matches!K40&lt;&gt;""),Matches!K40,0),"")</f>
        <v>0</v>
      </c>
      <c r="DC39" s="194" t="str">
        <f>Matches!M40</f>
        <v>Boca Juniors</v>
      </c>
      <c r="DD39" s="194" t="str">
        <f>IF(AND(Matches!J40&lt;&gt;"",Matches!K40&lt;&gt;""),IF(DA39&gt;DB39,"W",IF(DA39=DB39,"D","L")),"")</f>
        <v/>
      </c>
      <c r="DE39" s="194" t="str">
        <f t="shared" si="0"/>
        <v/>
      </c>
      <c r="DV39" s="202" t="s">
        <v>106</v>
      </c>
      <c r="DW39" s="20"/>
      <c r="DX39" s="9">
        <v>33</v>
      </c>
      <c r="DY39" s="203">
        <f t="shared" si="13"/>
        <v>45831.625</v>
      </c>
      <c r="DZ39" s="206">
        <f>EB39+3/24</f>
        <v>45831.625</v>
      </c>
      <c r="EA39" s="205">
        <f t="shared" ref="EA39:EA70" si="74">DZ39+TimeZoneData/24</f>
        <v>45831.625</v>
      </c>
      <c r="EB39" s="206">
        <v>45831.5</v>
      </c>
    </row>
    <row r="40" spans="1:134" x14ac:dyDescent="0.25">
      <c r="A40" s="194">
        <f>VLOOKUP(B40,CW37:CX41,2,FALSE)</f>
        <v>4</v>
      </c>
      <c r="B40" s="195" t="str">
        <f t="shared" si="68"/>
        <v>Mamelodi Sundowns</v>
      </c>
      <c r="C40" s="194">
        <f>SUMPRODUCT((CZ3:CZ54=B40)*(DD3:DD54="W"))+SUMPRODUCT((DC3:DC54=B40)*(DE3:DE54="W"))</f>
        <v>0</v>
      </c>
      <c r="D40" s="194">
        <f>SUMPRODUCT((CZ3:CZ54=B40)*(DD3:DD54="D"))+SUMPRODUCT((DC3:DC54=B40)*(DE3:DE54="D"))</f>
        <v>0</v>
      </c>
      <c r="E40" s="194">
        <f>SUMPRODUCT((CZ3:CZ54=B40)*(DD3:DD54="L"))+SUMPRODUCT((DC3:DC54=B40)*(DE3:DE54="L"))</f>
        <v>0</v>
      </c>
      <c r="F40" s="194">
        <f>SUMIF(CZ3:CZ72,B40,DA3:DA72)+SUMIF(DC3:DC72,B40,DB3:DB72)</f>
        <v>0</v>
      </c>
      <c r="G40" s="194">
        <f>SUMIF(DC3:DC72,B40,DA3:DA72)+SUMIF(CZ3:CZ72,B40,DB3:DB72)</f>
        <v>0</v>
      </c>
      <c r="H40" s="194">
        <f t="shared" si="64"/>
        <v>1000</v>
      </c>
      <c r="I40" s="194">
        <f t="shared" si="65"/>
        <v>0</v>
      </c>
      <c r="J40" s="194">
        <f>IF(Setup!G31&lt;&gt;"",Setup!G31,3)</f>
        <v>3</v>
      </c>
      <c r="K40" s="194">
        <f>IF(COUNTIF(I37:I41,4)&lt;&gt;4,RANK(I40,I37:I41),I92)</f>
        <v>1</v>
      </c>
      <c r="M40" s="194">
        <f>SUMPRODUCT((K37:K40=K40)*(J37:J40&lt;J40))+K40</f>
        <v>1</v>
      </c>
      <c r="N40" s="195" t="str">
        <f>INDEX(B37:B41,MATCH(4,M37:M41,0),0)</f>
        <v>Fluminense</v>
      </c>
      <c r="O40" s="194">
        <f>INDEX(K37:K41,MATCH(N40,B37:B41,0),0)</f>
        <v>1</v>
      </c>
      <c r="P40" s="194" t="str">
        <f>IF(AND(P39&lt;&gt;"",O40=1),N40,"")</f>
        <v>Fluminense</v>
      </c>
      <c r="Q40" s="194" t="str">
        <f>IF(AND(Q39&lt;&gt;"",O41=2),N41,"")</f>
        <v/>
      </c>
      <c r="U40" s="194" t="str">
        <f t="shared" si="69"/>
        <v>Fluminense</v>
      </c>
      <c r="V40" s="194">
        <f>SUMPRODUCT((CZ3:CZ54=U40)*(DC3:DC54=U41)*(DD3:DD54="W"))+SUMPRODUCT((CZ3:CZ54=U40)*(DC3:DC54=U37)*(DD3:DD54="W"))+SUMPRODUCT((CZ3:CZ54=U40)*(DC3:DC54=U38)*(DD3:DD54="W"))+SUMPRODUCT((CZ3:CZ54=U40)*(DC3:DC54=U39)*(DD3:DD54="W"))+SUMPRODUCT((CZ3:CZ54=U41)*(DC3:DC54=U40)*(DE3:DE54="W"))+SUMPRODUCT((CZ3:CZ54=U37)*(DC3:DC54=U40)*(DE3:DE54="W"))+SUMPRODUCT((CZ3:CZ54=U38)*(DC3:DC54=U40)*(DE3:DE54="W"))+SUMPRODUCT((CZ3:CZ54=U39)*(DC3:DC54=U40)*(DE3:DE54="W"))</f>
        <v>0</v>
      </c>
      <c r="W40" s="194">
        <f>SUMPRODUCT((CZ3:CZ54=U40)*(DC3:DC54=U41)*(DD3:DD54="D"))+SUMPRODUCT((CZ3:CZ54=U40)*(DC3:DC54=U37)*(DD3:DD54="D"))+SUMPRODUCT((CZ3:CZ54=U40)*(DC3:DC54=U38)*(DD3:DD54="D"))+SUMPRODUCT((CZ3:CZ54=U40)*(DC3:DC54=U39)*(DD3:DD54="D"))+SUMPRODUCT((CZ3:CZ54=U41)*(DC3:DC54=U40)*(DD3:DD54="D"))+SUMPRODUCT((CZ3:CZ54=U37)*(DC3:DC54=U40)*(DD3:DD54="D"))+SUMPRODUCT((CZ3:CZ54=U38)*(DC3:DC54=U40)*(DD3:DD54="D"))+SUMPRODUCT((CZ3:CZ54=U39)*(DC3:DC54=U40)*(DD3:DD54="D"))</f>
        <v>0</v>
      </c>
      <c r="X40" s="194">
        <f>SUMPRODUCT((CZ3:CZ54=U40)*(DC3:DC54=U41)*(DD3:DD54="L"))+SUMPRODUCT((CZ3:CZ54=U40)*(DC3:DC54=U37)*(DD3:DD54="L"))+SUMPRODUCT((CZ3:CZ54=U40)*(DC3:DC54=U38)*(DD3:DD54="L"))+SUMPRODUCT((CZ3:CZ54=U40)*(DC3:DC54=U39)*(DD3:DD54="L"))+SUMPRODUCT((CZ3:CZ54=U41)*(DC3:DC54=U40)*(DE3:DE54="L"))+SUMPRODUCT((CZ3:CZ54=U37)*(DC3:DC54=U40)*(DE3:DE54="L"))+SUMPRODUCT((CZ3:CZ54=U38)*(DC3:DC54=U40)*(DE3:DE54="L"))+SUMPRODUCT((CZ3:CZ54=U39)*(DC3:DC54=U40)*(DE3:DE54="L"))</f>
        <v>0</v>
      </c>
      <c r="Y40" s="194">
        <f>SUMPRODUCT((CZ3:CZ54=U40)*(DC3:DC54=U41)*DA3:DA54)+SUMPRODUCT((CZ3:CZ54=U40)*(DC3:DC54=U37)*DA3:DA54)+SUMPRODUCT((CZ3:CZ54=U40)*(DC3:DC54=U38)*DA3:DA54)+SUMPRODUCT((CZ3:CZ54=U40)*(DC3:DC54=U39)*DA3:DA54)+SUMPRODUCT((CZ3:CZ54=U41)*(DC3:DC54=U40)*DB3:DB54)+SUMPRODUCT((CZ3:CZ54=U37)*(DC3:DC54=U40)*DB3:DB54)+SUMPRODUCT((CZ3:CZ54=U38)*(DC3:DC54=U40)*DB3:DB54)+SUMPRODUCT((CZ3:CZ54=U39)*(DC3:DC54=U40)*DB3:DB54)</f>
        <v>0</v>
      </c>
      <c r="Z40" s="194">
        <f>SUMPRODUCT((CZ3:CZ54=U40)*(DC3:DC54=U41)*DB3:DB54)+SUMPRODUCT((CZ3:CZ54=U40)*(DC3:DC54=U37)*DB3:DB54)+SUMPRODUCT((CZ3:CZ54=U40)*(DC3:DC54=U38)*DB3:DB54)+SUMPRODUCT((CZ3:CZ54=U40)*(DC3:DC54=U39)*DB3:DB54)+SUMPRODUCT((CZ3:CZ54=U41)*(DC3:DC54=U40)*DA3:DA54)+SUMPRODUCT((CZ3:CZ54=U37)*(DC3:DC54=U40)*DA3:DA54)+SUMPRODUCT((CZ3:CZ54=U38)*(DC3:DC54=U40)*DA3:DA54)+SUMPRODUCT((CZ3:CZ54=U39)*(DC3:DC54=U40)*DA3:DA54)</f>
        <v>0</v>
      </c>
      <c r="AA40" s="194">
        <f>Y40-Z40+1000</f>
        <v>1000</v>
      </c>
      <c r="AB40" s="194">
        <f t="shared" si="66"/>
        <v>0</v>
      </c>
      <c r="AC40" s="194">
        <f>IF(U40&lt;&gt;"",VLOOKUP(U40,B4:H52,7,FALSE),"")</f>
        <v>1000</v>
      </c>
      <c r="AD40" s="194">
        <f>IF(U40&lt;&gt;"",VLOOKUP(U40,B4:H52,5,FALSE),"")</f>
        <v>0</v>
      </c>
      <c r="AE40" s="194">
        <f>IF(U40&lt;&gt;"",VLOOKUP(U40,B4:J52,9,FALSE),"")</f>
        <v>26</v>
      </c>
      <c r="AF40" s="194">
        <f t="shared" si="67"/>
        <v>0</v>
      </c>
      <c r="AG40" s="194">
        <f>IF(U40&lt;&gt;"",RANK(AF40,AF37:AF41),"")</f>
        <v>1</v>
      </c>
      <c r="AH40" s="194">
        <f>IF(U40&lt;&gt;"",SUMPRODUCT((AF37:AF41=AF40)*(AA37:AA41&gt;AA40)),"")</f>
        <v>0</v>
      </c>
      <c r="AI40" s="194">
        <f>IF(U40&lt;&gt;"",SUMPRODUCT((AF37:AF41=AF40)*(AA37:AA41=AA40)*(Y37:Y41&gt;Y40)),"")</f>
        <v>0</v>
      </c>
      <c r="AJ40" s="194">
        <f>IF(U40&lt;&gt;"",SUMPRODUCT((AF37:AF41=AF40)*(AA37:AA41=AA40)*(Y37:Y41=Y40)*(AC37:AC41&gt;AC40)),"")</f>
        <v>0</v>
      </c>
      <c r="AK40" s="194">
        <f>IF(U40&lt;&gt;"",SUMPRODUCT((AF37:AF41=AF40)*(AA37:AA41=AA40)*(Y37:Y41=Y40)*(AC37:AC41=AC40)*(AD37:AD41&gt;AD40)),"")</f>
        <v>0</v>
      </c>
      <c r="AL40" s="194">
        <f>IF(U40&lt;&gt;"",SUMPRODUCT((AF37:AF41=AF40)*(AA37:AA41=AA40)*(Y37:Y41=Y40)*(AC37:AC41=AC40)*(AD37:AD41=AD40)*(AE37:AE41&gt;AE40)),"")</f>
        <v>0</v>
      </c>
      <c r="AM40" s="194">
        <f>IF(U40&lt;&gt;"",IF(AM92&lt;&gt;"",IF(T88=3,AM92,AM92+T88),SUM(AG40:AL40)),"")</f>
        <v>1</v>
      </c>
      <c r="AN40" s="194" t="str">
        <f>IF(U40&lt;&gt;"",INDEX(U37:U41,MATCH(4,AM37:AM41,0),0),"")</f>
        <v>Mamelodi Sundowns</v>
      </c>
      <c r="AO40" s="194" t="str">
        <f>IF(Q39&lt;&gt;"",Q39,"")</f>
        <v/>
      </c>
      <c r="AP40" s="194" t="str">
        <f>IF(AO40&lt;&gt;"",SUMPRODUCT((CZ3:CZ54=AO40)*(DC3:DC54=AO41)*(DD3:DD54="W"))+SUMPRODUCT((CZ3:CZ54=AO40)*(DC3:DC54=AO38)*(DD3:DD54="W"))+SUMPRODUCT((CZ3:CZ54=AO40)*(DC3:DC54=AO39)*(DD3:DD54="W"))+SUMPRODUCT((CZ3:CZ54=AO41)*(DC3:DC54=AO40)*(DE3:DE54="W"))+SUMPRODUCT((CZ3:CZ54=AO38)*(DC3:DC54=AO40)*(DE3:DE54="W"))+SUMPRODUCT((CZ3:CZ54=AO39)*(DC3:DC54=AO40)*(DE3:DE54="W")),"")</f>
        <v/>
      </c>
      <c r="AQ40" s="194" t="str">
        <f>IF(AO40&lt;&gt;"",SUMPRODUCT((CZ3:CZ54=AO40)*(DC3:DC54=AO41)*(DD3:DD54="D"))+SUMPRODUCT((CZ3:CZ54=AO40)*(DC3:DC54=AO38)*(DD3:DD54="D"))+SUMPRODUCT((CZ3:CZ54=AO40)*(DC3:DC54=AO39)*(DD3:DD54="D"))+SUMPRODUCT((CZ3:CZ54=AO41)*(DC3:DC54=AO40)*(DD3:DD54="D"))+SUMPRODUCT((CZ3:CZ54=AO38)*(DC3:DC54=AO40)*(DD3:DD54="D"))+SUMPRODUCT((CZ3:CZ54=AO39)*(DC3:DC54=AO40)*(DD3:DD54="D")),"")</f>
        <v/>
      </c>
      <c r="AR40" s="194" t="str">
        <f>IF(AO40&lt;&gt;"",SUMPRODUCT((CZ3:CZ54=AO40)*(DC3:DC54=AO41)*(DD3:DD54="L"))+SUMPRODUCT((CZ3:CZ54=AO40)*(DC3:DC54=AO38)*(DD3:DD54="L"))+SUMPRODUCT((CZ3:CZ54=AO40)*(DC3:DC54=AO39)*(DD3:DD54="L"))+SUMPRODUCT((CZ3:CZ54=AO41)*(DC3:DC54=AO40)*(DE3:DE54="L"))+SUMPRODUCT((CZ3:CZ54=AO38)*(DC3:DC54=AO40)*(DE3:DE54="L"))+SUMPRODUCT((CZ3:CZ54=AO39)*(DC3:DC54=AO40)*(DE3:DE54="L")),"")</f>
        <v/>
      </c>
      <c r="AS40" s="194">
        <f>SUMPRODUCT((CZ3:CZ54=AO40)*(DC3:DC54=AO41)*DA3:DA54)+SUMPRODUCT((CZ3:CZ54=AO40)*(DC3:DC54=AO37)*DA3:DA54)+SUMPRODUCT((CZ3:CZ54=AO40)*(DC3:DC54=AO38)*DA3:DA54)+SUMPRODUCT((CZ3:CZ54=AO40)*(DC3:DC54=AO39)*DA3:DA54)+SUMPRODUCT((CZ3:CZ54=AO41)*(DC3:DC54=AO40)*DB3:DB54)+SUMPRODUCT((CZ3:CZ54=AO37)*(DC3:DC54=AO40)*DB3:DB54)+SUMPRODUCT((CZ3:CZ54=AO38)*(DC3:DC54=AO40)*DB3:DB54)+SUMPRODUCT((CZ3:CZ54=AO39)*(DC3:DC54=AO40)*DB3:DB54)</f>
        <v>0</v>
      </c>
      <c r="AT40" s="194">
        <f>SUMPRODUCT((CZ3:CZ54=AO40)*(DC3:DC54=AO41)*DB3:DB54)+SUMPRODUCT((CZ3:CZ54=AO40)*(DC3:DC54=AO37)*DB3:DB54)+SUMPRODUCT((CZ3:CZ54=AO40)*(DC3:DC54=AO38)*DB3:DB54)+SUMPRODUCT((CZ3:CZ54=AO40)*(DC3:DC54=AO39)*DB3:DB54)+SUMPRODUCT((CZ3:CZ54=AO41)*(DC3:DC54=AO40)*DA3:DA54)+SUMPRODUCT((CZ3:CZ54=AO37)*(DC3:DC54=AO40)*DA3:DA54)+SUMPRODUCT((CZ3:CZ54=AO38)*(DC3:DC54=AO40)*DA3:DA54)+SUMPRODUCT((CZ3:CZ54=AO39)*(DC3:DC54=AO40)*DA3:DA54)</f>
        <v>0</v>
      </c>
      <c r="AU40" s="194">
        <f>AS40-AT40+1000</f>
        <v>1000</v>
      </c>
      <c r="AV40" s="194" t="str">
        <f t="shared" si="70"/>
        <v/>
      </c>
      <c r="AW40" s="194" t="str">
        <f>IF(AO40&lt;&gt;"",VLOOKUP(AO40,B4:H52,7,FALSE),"")</f>
        <v/>
      </c>
      <c r="AX40" s="194" t="str">
        <f>IF(AO40&lt;&gt;"",VLOOKUP(AO40,B4:H52,5,FALSE),"")</f>
        <v/>
      </c>
      <c r="AY40" s="194" t="str">
        <f>IF(AO40&lt;&gt;"",VLOOKUP(AO40,B4:J52,9,FALSE),"")</f>
        <v/>
      </c>
      <c r="AZ40" s="194" t="str">
        <f t="shared" si="71"/>
        <v/>
      </c>
      <c r="BA40" s="194" t="str">
        <f>IF(AO40&lt;&gt;"",RANK(AZ40,AZ37:AZ40),"")</f>
        <v/>
      </c>
      <c r="BB40" s="194" t="str">
        <f>IF(AO40&lt;&gt;"",SUMPRODUCT((AZ37:AZ41=AZ40)*(AU37:AU41&gt;AU40)),"")</f>
        <v/>
      </c>
      <c r="BC40" s="194" t="str">
        <f>IF(AO40&lt;&gt;"",SUMPRODUCT((AZ37:AZ41=AZ40)*(AU37:AU41=AU40)*(AS37:AS41&gt;AS40)),"")</f>
        <v/>
      </c>
      <c r="BD40" s="194" t="str">
        <f>IF(AO40&lt;&gt;"",SUMPRODUCT((AZ37:AZ41=AZ40)*(AU37:AU41=AU40)*(AS37:AS41=AS40)*(AW37:AW41&gt;AW40)),"")</f>
        <v/>
      </c>
      <c r="BE40" s="194" t="str">
        <f>IF(AO40&lt;&gt;"",SUMPRODUCT((AZ37:AZ41=AZ40)*(AU37:AU41=AU40)*(AS37:AS41=AS40)*(AW37:AW41=AW40)*(AX37:AX41&gt;AX40)),"")</f>
        <v/>
      </c>
      <c r="BF40" s="194" t="str">
        <f>IF(AO40&lt;&gt;"",SUMPRODUCT((AZ37:AZ41=AZ40)*(AU37:AU41=AU40)*(AS37:AS41=AS40)*(AW37:AW41=AW40)*(AX37:AX41=AX40)*(AY37:AY41&gt;AY40)),"")</f>
        <v/>
      </c>
      <c r="BG40" s="194" t="str">
        <f>IF(AO40&lt;&gt;"",IF(BG92&lt;&gt;"",IF(AN88=3,BG92,BG92+AN88),SUM(BA40:BF40)+1),"")</f>
        <v/>
      </c>
      <c r="BH40" s="194" t="str">
        <f>IF(AO40&lt;&gt;"",INDEX(AO38:AO41,MATCH(4,BG38:BG41,0),0),"")</f>
        <v/>
      </c>
      <c r="BI40" s="194" t="str">
        <f>IF(R38&lt;&gt;"",R38,"")</f>
        <v/>
      </c>
      <c r="BJ40" s="194">
        <f>SUMPRODUCT((CZ3:CZ54=BI40)*(DC3:DC54=BI41)*(DD3:DD54="W"))+SUMPRODUCT((CZ3:CZ54=BI40)*(DC3:DC54=BI54)*(DD3:DD54="W"))+SUMPRODUCT((CZ3:CZ54=BI40)*(DC3:DC54=BI39)*(DD3:DD54="W"))+SUMPRODUCT((CZ3:CZ54=BI41)*(DC3:DC54=BI40)*(DE3:DE54="W"))+SUMPRODUCT((CZ3:CZ54=BI54)*(DC3:DC54=BI40)*(DE3:DE54="W"))+SUMPRODUCT((CZ3:CZ54=BI39)*(DC3:DC54=BI40)*(DE3:DE54="W"))</f>
        <v>0</v>
      </c>
      <c r="BK40" s="194">
        <f>SUMPRODUCT((CZ3:CZ54=BI40)*(DC3:DC54=BI41)*(DD3:DD54="D"))+SUMPRODUCT((CZ3:CZ54=BI40)*(DC3:DC54=BI54)*(DD3:DD54="D"))+SUMPRODUCT((CZ3:CZ54=BI40)*(DC3:DC54=BI39)*(DD3:DD54="D"))+SUMPRODUCT((CZ3:CZ54=BI41)*(DC3:DC54=BI40)*(DD3:DD54="D"))+SUMPRODUCT((CZ3:CZ54=BI54)*(DC3:DC54=BI40)*(DD3:DD54="D"))+SUMPRODUCT((CZ3:CZ54=BI39)*(DC3:DC54=BI40)*(DD3:DD54="D"))</f>
        <v>0</v>
      </c>
      <c r="BL40" s="194">
        <f>SUMPRODUCT((CZ3:CZ54=BI40)*(DC3:DC54=BI41)*(DD3:DD54="L"))+SUMPRODUCT((CZ3:CZ54=BI40)*(DC3:DC54=BI54)*(DD3:DD54="L"))+SUMPRODUCT((CZ3:CZ54=BI40)*(DC3:DC54=BI39)*(DD3:DD54="L"))+SUMPRODUCT((CZ3:CZ54=BI41)*(DC3:DC54=BI40)*(DE3:DE54="L"))+SUMPRODUCT((CZ3:CZ54=BI54)*(DC3:DC54=BI40)*(DE3:DE54="L"))+SUMPRODUCT((CZ3:CZ54=BI39)*(DC3:DC54=BI40)*(DE3:DE54="L"))</f>
        <v>0</v>
      </c>
      <c r="BM40" s="194">
        <f>SUMPRODUCT((CZ3:CZ54=BI40)*(DC3:DC54=BI41)*DA3:DA54)+SUMPRODUCT((CZ3:CZ54=BI40)*(DC3:DC54=BI37)*DA3:DA54)+SUMPRODUCT((CZ3:CZ54=BI40)*(DC3:DC54=BI38)*DA3:DA54)+SUMPRODUCT((CZ3:CZ54=BI40)*(DC3:DC54=BI39)*DA3:DA54)+SUMPRODUCT((CZ3:CZ54=BI41)*(DC3:DC54=BI40)*DB3:DB54)+SUMPRODUCT((CZ3:CZ54=BI37)*(DC3:DC54=BI40)*DB3:DB54)+SUMPRODUCT((CZ3:CZ54=BI38)*(DC3:DC54=BI40)*DB3:DB54)+SUMPRODUCT((CZ3:CZ54=BI39)*(DC3:DC54=BI40)*DB3:DB54)</f>
        <v>0</v>
      </c>
      <c r="BN40" s="194">
        <f>SUMPRODUCT((CZ3:CZ54=BI40)*(DC3:DC54=BI41)*DB3:DB54)+SUMPRODUCT((CZ3:CZ54=BI40)*(DC3:DC54=BI37)*DB3:DB54)+SUMPRODUCT((CZ3:CZ54=BI40)*(DC3:DC54=BI38)*DB3:DB54)+SUMPRODUCT((CZ3:CZ54=BI40)*(DC3:DC54=BI39)*DB3:DB54)+SUMPRODUCT((CZ3:CZ54=BI41)*(DC3:DC54=BI40)*DA3:DA54)+SUMPRODUCT((CZ3:CZ54=BI37)*(DC3:DC54=BI40)*DA3:DA54)+SUMPRODUCT((CZ3:CZ54=BI38)*(DC3:DC54=BI40)*DA3:DA54)+SUMPRODUCT((CZ3:CZ54=BI39)*(DC3:DC54=BI40)*DA3:DA54)</f>
        <v>0</v>
      </c>
      <c r="BO40" s="194">
        <f>BM40-BN40+1000</f>
        <v>1000</v>
      </c>
      <c r="BP40" s="194" t="str">
        <f t="shared" si="72"/>
        <v/>
      </c>
      <c r="BQ40" s="194" t="str">
        <f>IF(BI40&lt;&gt;"",VLOOKUP(BI40,B4:H52,7,FALSE),"")</f>
        <v/>
      </c>
      <c r="BR40" s="194" t="str">
        <f>IF(BI40&lt;&gt;"",VLOOKUP(BI40,B4:H52,5,FALSE),"")</f>
        <v/>
      </c>
      <c r="BS40" s="194" t="str">
        <f>IF(BI40&lt;&gt;"",VLOOKUP(BI40,B4:J52,9,FALSE),"")</f>
        <v/>
      </c>
      <c r="BT40" s="194" t="str">
        <f t="shared" si="73"/>
        <v/>
      </c>
      <c r="BU40" s="194" t="str">
        <f>IF(BI40&lt;&gt;"",RANK(BT40,BT38:BT40),"")</f>
        <v/>
      </c>
      <c r="BV40" s="194" t="str">
        <f>IF(BI40&lt;&gt;"",SUMPRODUCT((BT37:BT41=BT40)*(BO37:BO41&gt;BO40)),"")</f>
        <v/>
      </c>
      <c r="BW40" s="194" t="str">
        <f>IF(BI40&lt;&gt;"",SUMPRODUCT((BT37:BT41=BT40)*(BO37:BO41=BO40)*(BM37:BM41&gt;BM40)),"")</f>
        <v/>
      </c>
      <c r="BX40" s="194" t="str">
        <f>IF(BI40&lt;&gt;"",SUMPRODUCT((BT37:BT41=BT40)*(BO37:BO41=BO40)*(BM37:BM41=BM40)*(BQ37:BQ41&gt;BQ40)),"")</f>
        <v/>
      </c>
      <c r="BY40" s="194" t="str">
        <f>IF(BI40&lt;&gt;"",SUMPRODUCT((BT37:BT41=BT40)*(BO37:BO41=BO40)*(BM37:BM41=BM40)*(BQ37:BQ41=BQ40)*(BR37:BR41&gt;BR40)),"")</f>
        <v/>
      </c>
      <c r="BZ40" s="194" t="str">
        <f>IF(BI40&lt;&gt;"",SUMPRODUCT((BT37:BT41=BT40)*(BO37:BO41=BO40)*(BM37:BM41=BM40)*(BQ37:BQ41=BQ40)*(BR37:BR41=BR40)*(BS37:BS41&gt;BS40)),"")</f>
        <v/>
      </c>
      <c r="CA40" s="194" t="str">
        <f>IF(BI40&lt;&gt;"",SUM(BU40:BZ40)+2,"")</f>
        <v/>
      </c>
      <c r="CB40" s="194" t="str">
        <f>IF(BI40&lt;&gt;"",INDEX(BI39:BI41,MATCH(4,CA39:CA41,0),0),"")</f>
        <v/>
      </c>
      <c r="CC40" s="194" t="str">
        <f>IF(S37&lt;&gt;"",S37,"")</f>
        <v/>
      </c>
      <c r="CD40" s="194">
        <f>SUMPRODUCT((CZ3:CZ54=CC40)*(DC3:DC54=CC41)*(DD3:DD54="W"))+SUMPRODUCT((CZ3:CZ54=CC40)*(DC3:DC54=CC54)*(DD3:DD54="W"))+SUMPRODUCT((CZ3:CZ54=CC40)*(DC3:DC54=CC55)*(DD3:DD54="W"))+SUMPRODUCT((CZ3:CZ54=CC41)*(DC3:DC54=CC40)*(DE3:DE54="W"))+SUMPRODUCT((CZ3:CZ54=CC54)*(DC3:DC54=CC40)*(DE3:DE54="W"))+SUMPRODUCT((CZ3:CZ54=CC55)*(DC3:DC54=CC40)*(DE3:DE54="W"))</f>
        <v>0</v>
      </c>
      <c r="CE40" s="194">
        <f>SUMPRODUCT((CZ3:CZ54=CC40)*(DC3:DC54=CC41)*(DD3:DD54="D"))+SUMPRODUCT((CZ3:CZ54=CC40)*(DC3:DC54=CC54)*(DD3:DD54="D"))+SUMPRODUCT((CZ3:CZ54=CC40)*(DC3:DC54=CC55)*(DD3:DD54="D"))+SUMPRODUCT((CZ3:CZ54=CC41)*(DC3:DC54=CC40)*(DD3:DD54="D"))+SUMPRODUCT((CZ3:CZ54=CC54)*(DC3:DC54=CC40)*(DD3:DD54="D"))+SUMPRODUCT((CZ3:CZ54=CC55)*(DC3:DC54=CC40)*(DD3:DD54="D"))</f>
        <v>0</v>
      </c>
      <c r="CF40" s="194">
        <f>SUMPRODUCT((CZ3:CZ54=CC40)*(DC3:DC54=CC41)*(DD3:DD54="L"))+SUMPRODUCT((CZ3:CZ54=CC40)*(DC3:DC54=CC54)*(DD3:DD54="L"))+SUMPRODUCT((CZ3:CZ54=CC40)*(DC3:DC54=CC55)*(DD3:DD54="L"))+SUMPRODUCT((CZ3:CZ54=CC41)*(DC3:DC54=CC40)*(DE3:DE54="L"))+SUMPRODUCT((CZ3:CZ54=CC54)*(DC3:DC54=CC40)*(DE3:DE54="L"))+SUMPRODUCT((CZ3:CZ54=CC55)*(DC3:DC54=CC40)*(DE3:DE54="L"))</f>
        <v>0</v>
      </c>
      <c r="CG40" s="194">
        <f>SUMPRODUCT((CZ3:CZ54=CC40)*(DC3:DC54=CC41)*DA3:DA54)+SUMPRODUCT((CZ3:CZ54=CC40)*(DC3:DC54=CC37)*DA3:DA54)+SUMPRODUCT((CZ3:CZ54=CC40)*(DC3:DC54=CC38)*DA3:DA54)+SUMPRODUCT((CZ3:CZ54=CC40)*(DC3:DC54=CC39)*DA3:DA54)+SUMPRODUCT((CZ3:CZ54=CC41)*(DC3:DC54=CC40)*DB3:DB54)+SUMPRODUCT((CZ3:CZ54=CC37)*(DC3:DC54=CC40)*DB3:DB54)+SUMPRODUCT((CZ3:CZ54=CC38)*(DC3:DC54=CC40)*DB3:DB54)+SUMPRODUCT((CZ3:CZ54=CC39)*(DC3:DC54=CC40)*DB3:DB54)</f>
        <v>0</v>
      </c>
      <c r="CH40" s="194">
        <f>SUMPRODUCT((CZ3:CZ54=CC40)*(DC3:DC54=CC41)*DB3:DB54)+SUMPRODUCT((CZ3:CZ54=CC40)*(DC3:DC54=CC37)*DB3:DB54)+SUMPRODUCT((CZ3:CZ54=CC40)*(DC3:DC54=CC38)*DB3:DB54)+SUMPRODUCT((CZ3:CZ54=CC40)*(DC3:DC54=CC39)*DB3:DB54)+SUMPRODUCT((CZ3:CZ54=CC41)*(DC3:DC54=CC40)*DA3:DA54)+SUMPRODUCT((CZ3:CZ54=CC37)*(DC3:DC54=CC40)*DA3:DA54)+SUMPRODUCT((CZ3:CZ54=CC38)*(DC3:DC54=CC40)*DA3:DA54)+SUMPRODUCT((CZ3:CZ54=CC39)*(DC3:DC54=CC40)*DA3:DA54)</f>
        <v>0</v>
      </c>
      <c r="CI40" s="194">
        <f>CG40-CH40+1000</f>
        <v>1000</v>
      </c>
      <c r="CJ40" s="194" t="str">
        <f t="shared" ref="CJ40" si="75">IF(CC40&lt;&gt;"",CD40*3+CE40*1,"")</f>
        <v/>
      </c>
      <c r="CK40" s="194" t="str">
        <f>IF(CC40&lt;&gt;"",VLOOKUP(CC40,B4:H52,7,FALSE),"")</f>
        <v/>
      </c>
      <c r="CL40" s="194" t="str">
        <f>IF(CC40&lt;&gt;"",VLOOKUP(CC40,B4:H52,5,FALSE),"")</f>
        <v/>
      </c>
      <c r="CM40" s="194" t="str">
        <f>IF(CC40&lt;&gt;"",VLOOKUP(CC40,B4:J52,9,FALSE),"")</f>
        <v/>
      </c>
      <c r="CN40" s="194" t="str">
        <f t="shared" ref="CN40" si="76">CJ40</f>
        <v/>
      </c>
      <c r="CO40" s="194" t="str">
        <f>IF(CC40&lt;&gt;"",RANK(CN40,AF37:AF41),"")</f>
        <v/>
      </c>
      <c r="CP40" s="194" t="str">
        <f>IF(CC40&lt;&gt;"",SUMPRODUCT((CN37:CN41=CN40)*(CI37:CI41&gt;CI40)),"")</f>
        <v/>
      </c>
      <c r="CQ40" s="194" t="str">
        <f>IF(CC40&lt;&gt;"",SUMPRODUCT((CN37:CN41=CN40)*(CI37:CI41=CI40)*(CG37:CG41&gt;CG40)),"")</f>
        <v/>
      </c>
      <c r="CR40" s="194" t="str">
        <f>IF(CC40&lt;&gt;"",SUMPRODUCT((CN37:CN41=CN40)*(CI37:CI41=CI40)*(CG37:CG41=CG40)*(CK37:CK41&gt;CK40)),"")</f>
        <v/>
      </c>
      <c r="CS40" s="194" t="str">
        <f>IF(CC40&lt;&gt;"",SUMPRODUCT((CN37:CN41=CN40)*(CI37:CI41=CI40)*(CG37:CG41=CG40)*(CK37:CK41=CK40)*(CL37:CL41&gt;CL40)),"")</f>
        <v/>
      </c>
      <c r="CT40" s="194" t="str">
        <f>IF(CC40&lt;&gt;"",SUMPRODUCT((CN37:CN41=CN40)*(CI37:CI41=CI40)*(CG37:CG41=CG40)*(CK37:CK41=CK40)*(CL37:CL41=CL40)*(CM37:CM41&gt;CM40)),"")</f>
        <v/>
      </c>
      <c r="CU40" s="194" t="str">
        <f>IF(CC40&lt;&gt;"",SUM(CO40:CT40)+3,"")</f>
        <v/>
      </c>
      <c r="CV40" s="194" t="str">
        <f>IF(CC40&lt;&gt;"",IF(CU40=4,CC40,CC41),"")</f>
        <v/>
      </c>
      <c r="CW40" s="194" t="str">
        <f>IF(CV40&lt;&gt;"",CV40,IF(CB40&lt;&gt;"",CB40,IF(BH40&lt;&gt;"",BH40,IF(AN40&lt;&gt;"",AN40,N40))))</f>
        <v>Mamelodi Sundowns</v>
      </c>
      <c r="CX40" s="194">
        <v>4</v>
      </c>
      <c r="CZ40" s="194" t="str">
        <f>Matches!H41</f>
        <v>Benfica</v>
      </c>
      <c r="DA40" s="194">
        <f>IF(CZ2&lt;&gt;"",IF(AND(Matches!J41&lt;&gt;"",Matches!K41&lt;&gt;""),Matches!J41,0),"")</f>
        <v>0</v>
      </c>
      <c r="DB40" s="194">
        <f>IF(CZ2&lt;&gt;"",IF(AND(Matches!J41&lt;&gt;"",Matches!K41&lt;&gt;""),Matches!K41,0),"")</f>
        <v>0</v>
      </c>
      <c r="DC40" s="194" t="str">
        <f>Matches!M41</f>
        <v>Bayern Munich</v>
      </c>
      <c r="DD40" s="194" t="str">
        <f>IF(AND(Matches!J41&lt;&gt;"",Matches!K41&lt;&gt;""),IF(DA40&gt;DB40,"W",IF(DA40=DB40,"D","L")),"")</f>
        <v/>
      </c>
      <c r="DE40" s="194" t="str">
        <f t="shared" si="0"/>
        <v/>
      </c>
      <c r="DR40" s="196" t="str">
        <f>Matches!D55</f>
        <v>Group A Winner</v>
      </c>
      <c r="DT40" s="196" t="str">
        <f>IF(ISERROR("Calculator!"&amp;VLOOKUP(DR40,Calculator!DR7:DS38,2,FALSE)),"Calculator!dq77","Calculator!"&amp;VLOOKUP(DR40,Calculator!DR7:DS38,2,FALSE))</f>
        <v>Calculator!dq77</v>
      </c>
      <c r="DV40" s="202" t="s">
        <v>107</v>
      </c>
      <c r="DW40" s="20"/>
      <c r="DX40" s="9">
        <v>34</v>
      </c>
      <c r="DY40" s="203">
        <f t="shared" si="13"/>
        <v>45831.625</v>
      </c>
      <c r="DZ40" s="206">
        <f>EB40+3/24</f>
        <v>45831.625</v>
      </c>
      <c r="EA40" s="205">
        <f t="shared" si="74"/>
        <v>45831.625</v>
      </c>
      <c r="EB40" s="206">
        <v>45831.5</v>
      </c>
    </row>
    <row r="41" spans="1:134" x14ac:dyDescent="0.25">
      <c r="CZ41" s="194" t="str">
        <f>Matches!H42</f>
        <v>Los Angeles</v>
      </c>
      <c r="DA41" s="194">
        <f>IF(CZ2&lt;&gt;"",IF(AND(Matches!J42&lt;&gt;"",Matches!K42&lt;&gt;""),Matches!J42,0),"")</f>
        <v>0</v>
      </c>
      <c r="DB41" s="194">
        <f>IF(CZ2&lt;&gt;"",IF(AND(Matches!J42&lt;&gt;"",Matches!K42&lt;&gt;""),Matches!K42,0),"")</f>
        <v>0</v>
      </c>
      <c r="DC41" s="194" t="str">
        <f>Matches!M42</f>
        <v>Flamengo</v>
      </c>
      <c r="DD41" s="194" t="str">
        <f>IF(AND(Matches!J42&lt;&gt;"",Matches!K42&lt;&gt;""),IF(DA41&gt;DB41,"W",IF(DA41=DB41,"D","L")),"")</f>
        <v/>
      </c>
      <c r="DE41" s="194" t="str">
        <f t="shared" si="0"/>
        <v/>
      </c>
      <c r="DR41" s="196" t="str">
        <f>Matches!D56</f>
        <v>Group B Runner Up</v>
      </c>
      <c r="DT41" s="196" t="str">
        <f>IF(ISERROR("Calculator!"&amp;VLOOKUP(DR41,Calculator!DR7:DS38,2,FALSE)),"Calculator!dq77","Calculator!"&amp;VLOOKUP(DR41,Calculator!DR7:DS38,2,FALSE))</f>
        <v>Calculator!dq77</v>
      </c>
      <c r="DV41" s="202" t="s">
        <v>108</v>
      </c>
      <c r="DW41" s="20"/>
      <c r="DX41" s="9">
        <v>35</v>
      </c>
      <c r="DY41" s="203">
        <f t="shared" si="13"/>
        <v>45831.875</v>
      </c>
      <c r="DZ41" s="206">
        <v>45831.875</v>
      </c>
      <c r="EA41" s="205">
        <f t="shared" si="74"/>
        <v>45831.875</v>
      </c>
      <c r="EB41" s="206">
        <v>45831.875</v>
      </c>
    </row>
    <row r="42" spans="1:134" x14ac:dyDescent="0.25">
      <c r="CZ42" s="194" t="str">
        <f>Matches!H43</f>
        <v>Espérance Sportive de Tunis</v>
      </c>
      <c r="DA42" s="194">
        <f>IF(CZ2&lt;&gt;"",IF(AND(Matches!J43&lt;&gt;"",Matches!K43&lt;&gt;""),Matches!J43,0),"")</f>
        <v>0</v>
      </c>
      <c r="DB42" s="194">
        <f>IF(CZ2&lt;&gt;"",IF(AND(Matches!J43&lt;&gt;"",Matches!K43&lt;&gt;""),Matches!K43,0),"")</f>
        <v>0</v>
      </c>
      <c r="DC42" s="194" t="str">
        <f>Matches!M43</f>
        <v>Chelsea</v>
      </c>
      <c r="DD42" s="194" t="str">
        <f>IF(AND(Matches!J43&lt;&gt;"",Matches!K43&lt;&gt;""),IF(DA42&gt;DB42,"W",IF(DA42=DB42,"D","L")),"")</f>
        <v/>
      </c>
      <c r="DE42" s="194" t="str">
        <f t="shared" si="0"/>
        <v/>
      </c>
      <c r="DR42" s="196" t="str">
        <f>Matches!D59</f>
        <v>Group C Winner</v>
      </c>
      <c r="DT42" s="196" t="str">
        <f>IF(ISERROR("Calculator!"&amp;VLOOKUP(DR42,Calculator!DR7:DS38,2,FALSE)),"Calculator!dq77","Calculator!"&amp;VLOOKUP(DR42,Calculator!DR7:DS38,2,FALSE))</f>
        <v>Calculator!dq77</v>
      </c>
      <c r="DV42" s="202" t="s">
        <v>109</v>
      </c>
      <c r="DW42" s="20"/>
      <c r="DX42" s="9">
        <v>36</v>
      </c>
      <c r="DY42" s="203">
        <f t="shared" si="13"/>
        <v>45831.875</v>
      </c>
      <c r="DZ42" s="206">
        <v>45831.875</v>
      </c>
      <c r="EA42" s="205">
        <f t="shared" si="74"/>
        <v>45831.875</v>
      </c>
      <c r="EB42" s="206">
        <v>45831.875</v>
      </c>
    </row>
    <row r="43" spans="1:134" x14ac:dyDescent="0.25">
      <c r="A43" s="194">
        <f>VLOOKUP(B43,CW43:CX46,2,FALSE)</f>
        <v>1</v>
      </c>
      <c r="B43" s="195" t="str">
        <f>ED31</f>
        <v>Manchester City</v>
      </c>
      <c r="C43" s="194">
        <f>SUMPRODUCT((CZ3:CZ54=B43)*(DD3:DD54="W"))+SUMPRODUCT((DC3:DC54=B43)*(DE3:DE54="W"))</f>
        <v>0</v>
      </c>
      <c r="D43" s="194">
        <f>SUMPRODUCT((CZ3:CZ54=B43)*(DD3:DD54="D"))+SUMPRODUCT((DC3:DC54=B43)*(DE3:DE54="D"))</f>
        <v>0</v>
      </c>
      <c r="E43" s="194">
        <f>SUMPRODUCT((CZ3:CZ54=B43)*(DD3:DD54="L"))+SUMPRODUCT((DC3:DC54=B43)*(DE3:DE54="L"))</f>
        <v>0</v>
      </c>
      <c r="F43" s="194">
        <f>SUMIF(CZ3:CZ72,B43,DA3:DA72)+SUMIF(DC3:DC72,B43,DB3:DB72)</f>
        <v>0</v>
      </c>
      <c r="G43" s="194">
        <f>SUMIF(DC3:DC72,B43,DA3:DA72)+SUMIF(CZ3:CZ72,B43,DB3:DB72)</f>
        <v>0</v>
      </c>
      <c r="H43" s="194">
        <f t="shared" ref="H43:H46" si="77">F43-G43+1000</f>
        <v>1000</v>
      </c>
      <c r="I43" s="194">
        <f t="shared" ref="I43:I46" si="78">C43*3+D43*1</f>
        <v>0</v>
      </c>
      <c r="J43" s="194">
        <f>IF(Setup!G32&lt;&gt;"",Setup!G32,31)</f>
        <v>31</v>
      </c>
      <c r="K43" s="194">
        <f>IF(COUNTIF(I43:I46,4)&lt;&gt;4,RANK(I43,I43:I46),I95)</f>
        <v>1</v>
      </c>
      <c r="M43" s="194">
        <f>SUMPRODUCT((K43:K46=K43)*(J43:J46&lt;J43))+K43</f>
        <v>4</v>
      </c>
      <c r="N43" s="195" t="str">
        <f>INDEX(B43:B47,MATCH(1,M43:M47,0),0)</f>
        <v>Al Ain</v>
      </c>
      <c r="O43" s="194">
        <f>INDEX(K43:K47,MATCH(N43,B43:B47,0),0)</f>
        <v>1</v>
      </c>
      <c r="P43" s="194" t="str">
        <f>IF(O44=1,N43,"")</f>
        <v>Al Ain</v>
      </c>
      <c r="Q43" s="194" t="str">
        <f>IF(O45=2,N44,"")</f>
        <v/>
      </c>
      <c r="R43" s="194" t="str">
        <f>IF(O46=3,N45,"")</f>
        <v/>
      </c>
      <c r="S43" s="194" t="str">
        <f>IF(O47=4,N46,"")</f>
        <v/>
      </c>
      <c r="U43" s="194" t="str">
        <f>IF(P43&lt;&gt;"",P43,"")</f>
        <v>Al Ain</v>
      </c>
      <c r="V43" s="194">
        <f>SUMPRODUCT((CZ3:CZ54=U43)*(DC3:DC54=U44)*(DD3:DD54="W"))+SUMPRODUCT((CZ3:CZ54=U43)*(DC3:DC54=U45)*(DD3:DD54="W"))+SUMPRODUCT((CZ3:CZ54=U43)*(DC3:DC54=U46)*(DD3:DD54="W"))+SUMPRODUCT((CZ3:CZ54=U43)*(DC3:DC54=U47)*(DD3:DD54="W"))+SUMPRODUCT((CZ3:CZ54=U44)*(DC3:DC54=U43)*(DE3:DE54="W"))+SUMPRODUCT((CZ3:CZ54=U45)*(DC3:DC54=U43)*(DE3:DE54="W"))+SUMPRODUCT((CZ3:CZ54=U46)*(DC3:DC54=U43)*(DE3:DE54="W"))+SUMPRODUCT((CZ3:CZ54=U47)*(DC3:DC54=U43)*(DE3:DE54="W"))</f>
        <v>0</v>
      </c>
      <c r="W43" s="194">
        <f>SUMPRODUCT((CZ3:CZ54=U43)*(DC3:DC54=U44)*(DD3:DD54="D"))+SUMPRODUCT((CZ3:CZ54=U43)*(DC3:DC54=U45)*(DD3:DD54="D"))+SUMPRODUCT((CZ3:CZ54=U43)*(DC3:DC54=U46)*(DD3:DD54="D"))+SUMPRODUCT((CZ3:CZ54=U43)*(DC3:DC54=U47)*(DD3:DD54="D"))+SUMPRODUCT((CZ3:CZ54=U44)*(DC3:DC54=U43)*(DD3:DD54="D"))+SUMPRODUCT((CZ3:CZ54=U45)*(DC3:DC54=U43)*(DD3:DD54="D"))+SUMPRODUCT((CZ3:CZ54=U46)*(DC3:DC54=U43)*(DD3:DD54="D"))+SUMPRODUCT((CZ3:CZ54=U47)*(DC3:DC54=U43)*(DD3:DD54="D"))</f>
        <v>0</v>
      </c>
      <c r="X43" s="194">
        <f>SUMPRODUCT((CZ3:CZ54=U43)*(DC3:DC54=U44)*(DD3:DD54="L"))+SUMPRODUCT((CZ3:CZ54=U43)*(DC3:DC54=U45)*(DD3:DD54="L"))+SUMPRODUCT((CZ3:CZ54=U43)*(DC3:DC54=U46)*(DD3:DD54="L"))+SUMPRODUCT((CZ3:CZ54=U43)*(DC3:DC54=U47)*(DD3:DD54="L"))+SUMPRODUCT((CZ3:CZ54=U44)*(DC3:DC54=U43)*(DE3:DE54="L"))+SUMPRODUCT((CZ3:CZ54=U45)*(DC3:DC54=U43)*(DE3:DE54="L"))+SUMPRODUCT((CZ3:CZ54=U46)*(DC3:DC54=U43)*(DE3:DE54="L"))+SUMPRODUCT((CZ3:CZ54=U47)*(DC3:DC54=U43)*(DE3:DE54="L"))</f>
        <v>0</v>
      </c>
      <c r="Y43" s="194">
        <f>SUMPRODUCT((CZ3:CZ54=U43)*(DC3:DC54=U44)*DA3:DA54)+SUMPRODUCT((CZ3:CZ54=U43)*(DC3:DC54=U45)*DA3:DA54)+SUMPRODUCT((CZ3:CZ54=U43)*(DC3:DC54=U46)*DA3:DA54)+SUMPRODUCT((CZ3:CZ54=U43)*(DC3:DC54=U47)*DA3:DA54)+SUMPRODUCT((CZ3:CZ54=U44)*(DC3:DC54=U43)*DB3:DB54)+SUMPRODUCT((CZ3:CZ54=U45)*(DC3:DC54=U43)*DB3:DB54)+SUMPRODUCT((CZ3:CZ54=U46)*(DC3:DC54=U43)*DB3:DB54)+SUMPRODUCT((CZ3:CZ54=U47)*(DC3:DC54=U43)*DB3:DB54)</f>
        <v>0</v>
      </c>
      <c r="Z43" s="194">
        <f>SUMPRODUCT((CZ3:CZ54=U43)*(DC3:DC54=U44)*DB3:DB54)+SUMPRODUCT((CZ3:CZ54=U43)*(DC3:DC54=U45)*DB3:DB54)+SUMPRODUCT((CZ3:CZ54=U43)*(DC3:DC54=U46)*DB3:DB54)+SUMPRODUCT((CZ3:CZ54=U43)*(DC3:DC54=U47)*DB3:DB54)+SUMPRODUCT((CZ3:CZ54=U44)*(DC3:DC54=U43)*DA3:DA54)+SUMPRODUCT((CZ3:CZ54=U45)*(DC3:DC54=U43)*DA3:DA54)+SUMPRODUCT((CZ3:CZ54=U46)*(DC3:DC54=U43)*DA3:DA54)+SUMPRODUCT((CZ3:CZ54=U47)*(DC3:DC54=U43)*DA3:DA54)</f>
        <v>0</v>
      </c>
      <c r="AA43" s="194">
        <f>Y43-Z43+1000</f>
        <v>1000</v>
      </c>
      <c r="AB43" s="194">
        <f t="shared" ref="AB43:AB46" si="79">IF(U43&lt;&gt;"",V43*3+W43*1,"")</f>
        <v>0</v>
      </c>
      <c r="AC43" s="194">
        <f>IF(U43&lt;&gt;"",VLOOKUP(U43,B4:H52,7,FALSE),"")</f>
        <v>1000</v>
      </c>
      <c r="AD43" s="194">
        <f>IF(U43&lt;&gt;"",VLOOKUP(U43,B4:H52,5,FALSE),"")</f>
        <v>0</v>
      </c>
      <c r="AE43" s="194">
        <f>IF(U43&lt;&gt;"",VLOOKUP(U43,B4:J52,9,FALSE),"")</f>
        <v>2</v>
      </c>
      <c r="AF43" s="194">
        <f t="shared" ref="AF43:AF46" si="80">AB43</f>
        <v>0</v>
      </c>
      <c r="AG43" s="194">
        <f>IF(U43&lt;&gt;"",RANK(AF43,AF43:AF47),"")</f>
        <v>1</v>
      </c>
      <c r="AH43" s="194">
        <f>IF(U43&lt;&gt;"",SUMPRODUCT((AF43:AF47=AF43)*(AA43:AA47&gt;AA43)),"")</f>
        <v>0</v>
      </c>
      <c r="AI43" s="194">
        <f>IF(U43&lt;&gt;"",SUMPRODUCT((AF43:AF47=AF43)*(AA43:AA47=AA43)*(Y43:Y47&gt;Y43)),"")</f>
        <v>0</v>
      </c>
      <c r="AJ43" s="194">
        <f>IF(U43&lt;&gt;"",SUMPRODUCT((AF43:AF47=AF43)*(AA43:AA47=AA43)*(Y43:Y47=Y43)*(AC43:AC47&gt;AC43)),"")</f>
        <v>0</v>
      </c>
      <c r="AK43" s="194">
        <f>IF(U43&lt;&gt;"",SUMPRODUCT((AF43:AF47=AF43)*(AA43:AA47=AA43)*(Y43:Y47=Y43)*(AC43:AC47=AC43)*(AD43:AD47&gt;AD43)),"")</f>
        <v>0</v>
      </c>
      <c r="AL43" s="194">
        <f>IF(U43&lt;&gt;"",SUMPRODUCT((AF43:AF47=AF43)*(AA43:AA47=AA43)*(Y43:Y47=Y43)*(AC43:AC47=AC43)*(AD43:AD47=AD43)*(AE43:AE47&gt;AE43)),"")</f>
        <v>3</v>
      </c>
      <c r="AM43" s="194">
        <f>IF(U43&lt;&gt;"",IF(AM95&lt;&gt;"",IF(T94=3,AM95,AM95+T94),SUM(AG43:AL43)),"")</f>
        <v>4</v>
      </c>
      <c r="AN43" s="194" t="str">
        <f>IF(U43&lt;&gt;"",INDEX(U43:U47,MATCH(1,AM43:AM47,0),0),"")</f>
        <v>Manchester City</v>
      </c>
      <c r="CW43" s="194" t="str">
        <f>IF(AN43&lt;&gt;"",AN43,N43)</f>
        <v>Manchester City</v>
      </c>
      <c r="CX43" s="194">
        <v>1</v>
      </c>
      <c r="CZ43" s="194" t="str">
        <f>Matches!H44</f>
        <v>Borussia Dortmund</v>
      </c>
      <c r="DA43" s="194">
        <f>IF(CZ2&lt;&gt;"",IF(AND(Matches!J44&lt;&gt;"",Matches!K44&lt;&gt;""),Matches!J44,0),"")</f>
        <v>0</v>
      </c>
      <c r="DB43" s="194">
        <f>IF(CZ2&lt;&gt;"",IF(AND(Matches!J44&lt;&gt;"",Matches!K44&lt;&gt;""),Matches!K44,0),"")</f>
        <v>0</v>
      </c>
      <c r="DC43" s="194" t="str">
        <f>Matches!M44</f>
        <v>Ulsan HD</v>
      </c>
      <c r="DD43" s="194" t="str">
        <f>IF(AND(Matches!J44&lt;&gt;"",Matches!K44&lt;&gt;""),IF(DA43&gt;DB43,"W",IF(DA43=DB43,"D","L")),"")</f>
        <v/>
      </c>
      <c r="DE43" s="194" t="str">
        <f t="shared" si="0"/>
        <v/>
      </c>
      <c r="DR43" s="196" t="str">
        <f>Matches!D60</f>
        <v>Group D Runner Up</v>
      </c>
      <c r="DT43" s="196" t="str">
        <f>IF(ISERROR("Calculator!"&amp;VLOOKUP(DR43,Calculator!DR7:DS38,2,FALSE)),"Calculator!dq77","Calculator!"&amp;VLOOKUP(DR43,Calculator!DR7:DS38,2,FALSE))</f>
        <v>Calculator!dq77</v>
      </c>
      <c r="DV43" s="202" t="s">
        <v>110</v>
      </c>
      <c r="DW43" s="20"/>
      <c r="DX43" s="9">
        <v>37</v>
      </c>
      <c r="DY43" s="203">
        <f t="shared" si="13"/>
        <v>45832.625</v>
      </c>
      <c r="DZ43" s="206">
        <f>EB43+1/24</f>
        <v>45832.625</v>
      </c>
      <c r="EA43" s="205">
        <f t="shared" si="74"/>
        <v>45832.625</v>
      </c>
      <c r="EB43" s="206">
        <v>45832.583333333336</v>
      </c>
      <c r="EC43" s="196">
        <f>SUM(Matches!S41:S44)</f>
        <v>10</v>
      </c>
    </row>
    <row r="44" spans="1:134" x14ac:dyDescent="0.25">
      <c r="A44" s="194">
        <f>VLOOKUP(B44,CW43:CX46,2,FALSE)</f>
        <v>3</v>
      </c>
      <c r="B44" s="195" t="str">
        <f t="shared" ref="B44:B46" si="81">ED32</f>
        <v>Wydad AC</v>
      </c>
      <c r="C44" s="194">
        <f>SUMPRODUCT((CZ3:CZ54=B44)*(DD3:DD54="W"))+SUMPRODUCT((DC3:DC54=B44)*(DE3:DE54="W"))</f>
        <v>0</v>
      </c>
      <c r="D44" s="194">
        <f>SUMPRODUCT((CZ3:CZ54=B44)*(DD3:DD54="D"))+SUMPRODUCT((DC3:DC54=B44)*(DE3:DE54="D"))</f>
        <v>0</v>
      </c>
      <c r="E44" s="194">
        <f>SUMPRODUCT((CZ3:CZ54=B44)*(DD3:DD54="L"))+SUMPRODUCT((DC3:DC54=B44)*(DE3:DE54="L"))</f>
        <v>0</v>
      </c>
      <c r="F44" s="194">
        <f>SUMIF(CZ3:CZ72,B44,DA3:DA72)+SUMIF(DC3:DC72,B44,DB3:DB72)</f>
        <v>0</v>
      </c>
      <c r="G44" s="194">
        <f>SUMIF(DC3:DC72,B44,DA3:DA72)+SUMIF(CZ3:CZ72,B44,DB3:DB72)</f>
        <v>0</v>
      </c>
      <c r="H44" s="194">
        <f t="shared" si="77"/>
        <v>1000</v>
      </c>
      <c r="I44" s="194">
        <f t="shared" si="78"/>
        <v>0</v>
      </c>
      <c r="J44" s="194">
        <f>IF(Setup!G33&lt;&gt;"",Setup!G33,10)</f>
        <v>10</v>
      </c>
      <c r="K44" s="194">
        <f>IF(COUNTIF(I43:I46,4)&lt;&gt;4,RANK(I44,I43:I46),I96)</f>
        <v>1</v>
      </c>
      <c r="M44" s="194">
        <f>SUMPRODUCT((K43:K46=K44)*(J43:J46&lt;J44))+K44</f>
        <v>2</v>
      </c>
      <c r="N44" s="195" t="str">
        <f>INDEX(B43:B47,MATCH(2,M43:M47,0),0)</f>
        <v>Wydad AC</v>
      </c>
      <c r="O44" s="194">
        <f>INDEX(K43:K47,MATCH(N44,B43:B47,0),0)</f>
        <v>1</v>
      </c>
      <c r="P44" s="194" t="str">
        <f>IF(P43&lt;&gt;"",N44,"")</f>
        <v>Wydad AC</v>
      </c>
      <c r="Q44" s="194" t="str">
        <f>IF(Q43&lt;&gt;"",N45,"")</f>
        <v/>
      </c>
      <c r="R44" s="194" t="str">
        <f>IF(R43&lt;&gt;"",N46,"")</f>
        <v/>
      </c>
      <c r="S44" s="194" t="str">
        <f>IF(S43&lt;&gt;"",N47,"")</f>
        <v/>
      </c>
      <c r="U44" s="194" t="str">
        <f t="shared" ref="U44:U46" si="82">IF(P44&lt;&gt;"",P44,"")</f>
        <v>Wydad AC</v>
      </c>
      <c r="V44" s="194">
        <f>SUMPRODUCT((CZ3:CZ54=U44)*(DC3:DC54=U45)*(DD3:DD54="W"))+SUMPRODUCT((CZ3:CZ54=U44)*(DC3:DC54=U46)*(DD3:DD54="W"))+SUMPRODUCT((CZ3:CZ54=U44)*(DC3:DC54=U47)*(DD3:DD54="W"))+SUMPRODUCT((CZ3:CZ54=U44)*(DC3:DC54=U43)*(DD3:DD54="W"))+SUMPRODUCT((CZ3:CZ54=U45)*(DC3:DC54=U44)*(DE3:DE54="W"))+SUMPRODUCT((CZ3:CZ54=U46)*(DC3:DC54=U44)*(DE3:DE54="W"))+SUMPRODUCT((CZ3:CZ54=U47)*(DC3:DC54=U44)*(DE3:DE54="W"))+SUMPRODUCT((CZ3:CZ54=U43)*(DC3:DC54=U44)*(DE3:DE54="W"))</f>
        <v>0</v>
      </c>
      <c r="W44" s="194">
        <f>SUMPRODUCT((CZ3:CZ54=U44)*(DC3:DC54=U45)*(DD3:DD54="D"))+SUMPRODUCT((CZ3:CZ54=U44)*(DC3:DC54=U46)*(DD3:DD54="D"))+SUMPRODUCT((CZ3:CZ54=U44)*(DC3:DC54=U47)*(DD3:DD54="D"))+SUMPRODUCT((CZ3:CZ54=U44)*(DC3:DC54=U43)*(DD3:DD54="D"))+SUMPRODUCT((CZ3:CZ54=U45)*(DC3:DC54=U44)*(DD3:DD54="D"))+SUMPRODUCT((CZ3:CZ54=U46)*(DC3:DC54=U44)*(DD3:DD54="D"))+SUMPRODUCT((CZ3:CZ54=U47)*(DC3:DC54=U44)*(DD3:DD54="D"))+SUMPRODUCT((CZ3:CZ54=U43)*(DC3:DC54=U44)*(DD3:DD54="D"))</f>
        <v>0</v>
      </c>
      <c r="X44" s="194">
        <f>SUMPRODUCT((CZ3:CZ54=U44)*(DC3:DC54=U45)*(DD3:DD54="L"))+SUMPRODUCT((CZ3:CZ54=U44)*(DC3:DC54=U46)*(DD3:DD54="L"))+SUMPRODUCT((CZ3:CZ54=U44)*(DC3:DC54=U47)*(DD3:DD54="L"))+SUMPRODUCT((CZ3:CZ54=U44)*(DC3:DC54=U43)*(DD3:DD54="L"))+SUMPRODUCT((CZ3:CZ54=U45)*(DC3:DC54=U44)*(DE3:DE54="L"))+SUMPRODUCT((CZ3:CZ54=U46)*(DC3:DC54=U44)*(DE3:DE54="L"))+SUMPRODUCT((CZ3:CZ54=U47)*(DC3:DC54=U44)*(DE3:DE54="L"))+SUMPRODUCT((CZ3:CZ54=U43)*(DC3:DC54=U44)*(DE3:DE54="L"))</f>
        <v>0</v>
      </c>
      <c r="Y44" s="194">
        <f>SUMPRODUCT((CZ3:CZ54=U44)*(DC3:DC54=U45)*DA3:DA54)+SUMPRODUCT((CZ3:CZ54=U44)*(DC3:DC54=U46)*DA3:DA54)+SUMPRODUCT((CZ3:CZ54=U44)*(DC3:DC54=U47)*DA3:DA54)+SUMPRODUCT((CZ3:CZ54=U44)*(DC3:DC54=U43)*DA3:DA54)+SUMPRODUCT((CZ3:CZ54=U45)*(DC3:DC54=U44)*DB3:DB54)+SUMPRODUCT((CZ3:CZ54=U46)*(DC3:DC54=U44)*DB3:DB54)+SUMPRODUCT((CZ3:CZ54=U47)*(DC3:DC54=U44)*DB3:DB54)+SUMPRODUCT((CZ3:CZ54=U43)*(DC3:DC54=U44)*DB3:DB54)</f>
        <v>0</v>
      </c>
      <c r="Z44" s="194">
        <f>SUMPRODUCT((CZ3:CZ54=U44)*(DC3:DC54=U45)*DB3:DB54)+SUMPRODUCT((CZ3:CZ54=U44)*(DC3:DC54=U46)*DB3:DB54)+SUMPRODUCT((CZ3:CZ54=U44)*(DC3:DC54=U47)*DB3:DB54)+SUMPRODUCT((CZ3:CZ54=U44)*(DC3:DC54=U43)*DB3:DB54)+SUMPRODUCT((CZ3:CZ54=U45)*(DC3:DC54=U44)*DA3:DA54)+SUMPRODUCT((CZ3:CZ54=U46)*(DC3:DC54=U44)*DA3:DA54)+SUMPRODUCT((CZ3:CZ54=U47)*(DC3:DC54=U44)*DA3:DA54)+SUMPRODUCT((CZ3:CZ54=U43)*(DC3:DC54=U44)*DA3:DA54)</f>
        <v>0</v>
      </c>
      <c r="AA44" s="194">
        <f>Y44-Z44+1000</f>
        <v>1000</v>
      </c>
      <c r="AB44" s="194">
        <f t="shared" si="79"/>
        <v>0</v>
      </c>
      <c r="AC44" s="194">
        <f>IF(U44&lt;&gt;"",VLOOKUP(U44,B4:H52,7,FALSE),"")</f>
        <v>1000</v>
      </c>
      <c r="AD44" s="194">
        <f>IF(U44&lt;&gt;"",VLOOKUP(U44,B4:H52,5,FALSE),"")</f>
        <v>0</v>
      </c>
      <c r="AE44" s="194">
        <f>IF(U44&lt;&gt;"",VLOOKUP(U44,B4:J52,9,FALSE),"")</f>
        <v>10</v>
      </c>
      <c r="AF44" s="194">
        <f t="shared" si="80"/>
        <v>0</v>
      </c>
      <c r="AG44" s="194">
        <f>IF(U44&lt;&gt;"",RANK(AF44,AF43:AF47),"")</f>
        <v>1</v>
      </c>
      <c r="AH44" s="194">
        <f>IF(U44&lt;&gt;"",SUMPRODUCT((AF43:AF47=AF44)*(AA43:AA47&gt;AA44)),"")</f>
        <v>0</v>
      </c>
      <c r="AI44" s="194">
        <f>IF(U44&lt;&gt;"",SUMPRODUCT((AF43:AF47=AF44)*(AA43:AA47=AA44)*(Y43:Y47&gt;Y44)),"")</f>
        <v>0</v>
      </c>
      <c r="AJ44" s="194">
        <f>IF(U44&lt;&gt;"",SUMPRODUCT((AF43:AF47=AF44)*(AA43:AA47=AA44)*(Y43:Y47=Y44)*(AC43:AC47&gt;AC44)),"")</f>
        <v>0</v>
      </c>
      <c r="AK44" s="194">
        <f>IF(U44&lt;&gt;"",SUMPRODUCT((AF43:AF47=AF44)*(AA43:AA47=AA44)*(Y43:Y47=Y44)*(AC43:AC47=AC44)*(AD43:AD47&gt;AD44)),"")</f>
        <v>0</v>
      </c>
      <c r="AL44" s="194">
        <f>IF(U44&lt;&gt;"",SUMPRODUCT((AF43:AF47=AF44)*(AA43:AA47=AA44)*(Y43:Y47=Y44)*(AC43:AC47=AC44)*(AD43:AD47=AD44)*(AE43:AE47&gt;AE44)),"")</f>
        <v>2</v>
      </c>
      <c r="AM44" s="194">
        <f>IF(U44&lt;&gt;"",IF(AM96&lt;&gt;"",IF(T94=3,AM96,AM96+T94),SUM(AG44:AL44)),"")</f>
        <v>3</v>
      </c>
      <c r="AN44" s="194" t="str">
        <f>IF(U44&lt;&gt;"",INDEX(U43:U47,MATCH(2,AM43:AM47,0),0),"")</f>
        <v>Juventus</v>
      </c>
      <c r="AO44" s="194" t="str">
        <f>IF(Q43&lt;&gt;"",Q43,"")</f>
        <v/>
      </c>
      <c r="AP44" s="194">
        <f>SUMPRODUCT((CZ3:CZ54=AO44)*(DC3:DC54=AO45)*(DD3:DD54="W"))+SUMPRODUCT((CZ3:CZ54=AO44)*(DC3:DC54=AO46)*(DD3:DD54="W"))+SUMPRODUCT((CZ3:CZ54=AO44)*(DC3:DC54=AO47)*(DD3:DD54="W"))+SUMPRODUCT((CZ3:CZ54=AO45)*(DC3:DC54=AO44)*(DE3:DE54="W"))+SUMPRODUCT((CZ3:CZ54=AO46)*(DC3:DC54=AO44)*(DE3:DE54="W"))+SUMPRODUCT((CZ3:CZ54=AO47)*(DC3:DC54=AO44)*(DE3:DE54="W"))</f>
        <v>0</v>
      </c>
      <c r="AQ44" s="194">
        <f>SUMPRODUCT((CZ3:CZ54=AO44)*(DC3:DC54=AO45)*(DD3:DD54="D"))+SUMPRODUCT((CZ3:CZ54=AO44)*(DC3:DC54=AO46)*(DD3:DD54="D"))+SUMPRODUCT((CZ3:CZ54=AO44)*(DC3:DC54=AO47)*(DD3:DD54="D"))+SUMPRODUCT((CZ3:CZ54=AO45)*(DC3:DC54=AO44)*(DD3:DD54="D"))+SUMPRODUCT((CZ3:CZ54=AO46)*(DC3:DC54=AO44)*(DD3:DD54="D"))+SUMPRODUCT((CZ3:CZ54=AO47)*(DC3:DC54=AO44)*(DD3:DD54="D"))</f>
        <v>0</v>
      </c>
      <c r="AR44" s="194">
        <f>SUMPRODUCT((CZ3:CZ54=AO44)*(DC3:DC54=AO45)*(DD3:DD54="L"))+SUMPRODUCT((CZ3:CZ54=AO44)*(DC3:DC54=AO46)*(DD3:DD54="L"))+SUMPRODUCT((CZ3:CZ54=AO44)*(DC3:DC54=AO47)*(DD3:DD54="L"))+SUMPRODUCT((CZ3:CZ54=AO45)*(DC3:DC54=AO44)*(DE3:DE54="L"))+SUMPRODUCT((CZ3:CZ54=AO46)*(DC3:DC54=AO44)*(DE3:DE54="L"))+SUMPRODUCT((CZ3:CZ54=AO47)*(DC3:DC54=AO44)*(DE3:DE54="L"))</f>
        <v>0</v>
      </c>
      <c r="AS44" s="194">
        <f>SUMPRODUCT((CZ3:CZ54=AO44)*(DC3:DC54=AO45)*DA3:DA54)+SUMPRODUCT((CZ3:CZ54=AO44)*(DC3:DC54=AO46)*DA3:DA54)+SUMPRODUCT((CZ3:CZ54=AO44)*(DC3:DC54=AO47)*DA3:DA54)+SUMPRODUCT((CZ3:CZ54=AO44)*(DC3:DC54=AO43)*DA3:DA54)+SUMPRODUCT((CZ3:CZ54=AO45)*(DC3:DC54=AO44)*DB3:DB54)+SUMPRODUCT((CZ3:CZ54=AO46)*(DC3:DC54=AO44)*DB3:DB54)+SUMPRODUCT((CZ3:CZ54=AO47)*(DC3:DC54=AO44)*DB3:DB54)+SUMPRODUCT((CZ3:CZ54=AO43)*(DC3:DC54=AO44)*DB3:DB54)</f>
        <v>0</v>
      </c>
      <c r="AT44" s="194">
        <f>SUMPRODUCT((CZ3:CZ54=AO44)*(DC3:DC54=AO45)*DB3:DB54)+SUMPRODUCT((CZ3:CZ54=AO44)*(DC3:DC54=AO46)*DB3:DB54)+SUMPRODUCT((CZ3:CZ54=AO44)*(DC3:DC54=AO47)*DB3:DB54)+SUMPRODUCT((CZ3:CZ54=AO44)*(DC3:DC54=AO43)*DB3:DB54)+SUMPRODUCT((CZ3:CZ54=AO45)*(DC3:DC54=AO44)*DA3:DA54)+SUMPRODUCT((CZ3:CZ54=AO46)*(DC3:DC54=AO44)*DA3:DA54)+SUMPRODUCT((CZ3:CZ54=AO47)*(DC3:DC54=AO44)*DA3:DA54)+SUMPRODUCT((CZ3:CZ54=AO43)*(DC3:DC54=AO44)*DA3:DA54)</f>
        <v>0</v>
      </c>
      <c r="AU44" s="194">
        <f>AS44-AT44+1000</f>
        <v>1000</v>
      </c>
      <c r="AV44" s="194" t="str">
        <f t="shared" ref="AV44:AV46" si="83">IF(AO44&lt;&gt;"",AP44*3+AQ44*1,"")</f>
        <v/>
      </c>
      <c r="AW44" s="194" t="str">
        <f>IF(AO44&lt;&gt;"",VLOOKUP(AO44,B4:H52,7,FALSE),"")</f>
        <v/>
      </c>
      <c r="AX44" s="194" t="str">
        <f>IF(AO44&lt;&gt;"",VLOOKUP(AO44,B4:H52,5,FALSE),"")</f>
        <v/>
      </c>
      <c r="AY44" s="194" t="str">
        <f>IF(AO44&lt;&gt;"",VLOOKUP(AO44,B4:J52,9,FALSE),"")</f>
        <v/>
      </c>
      <c r="AZ44" s="194" t="str">
        <f t="shared" ref="AZ44:AZ46" si="84">AV44</f>
        <v/>
      </c>
      <c r="BA44" s="194" t="str">
        <f>IF(AO44&lt;&gt;"",RANK(AZ44,AZ43:AZ46),"")</f>
        <v/>
      </c>
      <c r="BB44" s="194" t="str">
        <f>IF(AO44&lt;&gt;"",SUMPRODUCT((AZ43:AZ47=AZ44)*(AU43:AU47&gt;AU44)),"")</f>
        <v/>
      </c>
      <c r="BC44" s="194" t="str">
        <f>IF(AO44&lt;&gt;"",SUMPRODUCT((AZ43:AZ47=AZ44)*(AU43:AU47=AU44)*(AS43:AS47&gt;AS44)),"")</f>
        <v/>
      </c>
      <c r="BD44" s="194" t="str">
        <f>IF(AO44&lt;&gt;"",SUMPRODUCT((AZ43:AZ47=AZ44)*(AU43:AU47=AU44)*(AS43:AS47=AS44)*(AW43:AW47&gt;AW44)),"")</f>
        <v/>
      </c>
      <c r="BE44" s="194" t="str">
        <f>IF(AO44&lt;&gt;"",SUMPRODUCT((AZ43:AZ47=AZ44)*(AU43:AU47=AU44)*(AS43:AS47=AS44)*(AW43:AW47=AW44)*(AX43:AX47&gt;AX44)),"")</f>
        <v/>
      </c>
      <c r="BF44" s="194" t="str">
        <f>IF(AO44&lt;&gt;"",SUMPRODUCT((AZ43:AZ47=AZ44)*(AU43:AU47=AU44)*(AS43:AS47=AS44)*(AW43:AW47=AW44)*(AX43:AX47=AX44)*(AY43:AY47&gt;AY44)),"")</f>
        <v/>
      </c>
      <c r="BG44" s="194" t="str">
        <f>IF(AO44&lt;&gt;"",IF(BG96&lt;&gt;"",IF(AN94=3,BG96,BG96+AN94),SUM(BA44:BF44)+1),"")</f>
        <v/>
      </c>
      <c r="BH44" s="194" t="str">
        <f>IF(AO44&lt;&gt;"",INDEX(AO44:AO47,MATCH(2,BG44:BG47,0),0),"")</f>
        <v/>
      </c>
      <c r="CW44" s="194" t="str">
        <f>IF(BH44&lt;&gt;"",BH44,IF(AN44&lt;&gt;"",AN44,N44))</f>
        <v>Juventus</v>
      </c>
      <c r="CX44" s="194">
        <v>2</v>
      </c>
      <c r="CZ44" s="194" t="str">
        <f>Matches!H45</f>
        <v>Mamelodi Sundowns</v>
      </c>
      <c r="DA44" s="194">
        <f>IF(CZ2&lt;&gt;"",IF(AND(Matches!J45&lt;&gt;"",Matches!K45&lt;&gt;""),Matches!J45,0),"")</f>
        <v>0</v>
      </c>
      <c r="DB44" s="194">
        <f>IF(CZ2&lt;&gt;"",IF(AND(Matches!J45&lt;&gt;"",Matches!K45&lt;&gt;""),Matches!K45,0),"")</f>
        <v>0</v>
      </c>
      <c r="DC44" s="194" t="str">
        <f>Matches!M45</f>
        <v>Fluminense</v>
      </c>
      <c r="DD44" s="194" t="str">
        <f>IF(AND(Matches!J45&lt;&gt;"",Matches!K45&lt;&gt;""),IF(DA44&gt;DB44,"W",IF(DA44=DB44,"D","L")),"")</f>
        <v/>
      </c>
      <c r="DE44" s="194" t="str">
        <f>IF(RIGHT(License!G12,2)="om",IF(DD44&lt;&gt;"",IF(DD44="W","L",IF(DD44="L","W","D")),""),"D")</f>
        <v/>
      </c>
      <c r="DR44" s="196" t="str">
        <f>Matches!D63</f>
        <v>Group E Winner</v>
      </c>
      <c r="DT44" s="196" t="str">
        <f>IF(ISERROR("Calculator!"&amp;VLOOKUP(DR44,Calculator!DR7:DS38,2,FALSE)),"Calculator!dq77","Calculator!"&amp;VLOOKUP(DR44,Calculator!DR7:DS38,2,FALSE))</f>
        <v>Calculator!dq77</v>
      </c>
      <c r="DV44" s="202" t="s">
        <v>111</v>
      </c>
      <c r="DW44" s="20"/>
      <c r="DX44" s="9">
        <v>38</v>
      </c>
      <c r="DY44" s="203">
        <f t="shared" si="13"/>
        <v>45832.625</v>
      </c>
      <c r="DZ44" s="206">
        <v>45832.625</v>
      </c>
      <c r="EA44" s="205">
        <f t="shared" si="74"/>
        <v>45832.625</v>
      </c>
      <c r="EB44" s="206">
        <v>45832.625</v>
      </c>
    </row>
    <row r="45" spans="1:134" x14ac:dyDescent="0.25">
      <c r="A45" s="194">
        <f>VLOOKUP(B45,CW43:CX46,2,FALSE)</f>
        <v>4</v>
      </c>
      <c r="B45" s="195" t="str">
        <f t="shared" si="81"/>
        <v>Al Ain</v>
      </c>
      <c r="C45" s="194">
        <f>SUMPRODUCT((CZ3:CZ54=B45)*(DD3:DD54="W"))+SUMPRODUCT((DC3:DC54=B45)*(DE3:DE54="W"))</f>
        <v>0</v>
      </c>
      <c r="D45" s="194">
        <f>SUMPRODUCT((CZ3:CZ54=B45)*(DD3:DD54="D"))+SUMPRODUCT((DC3:DC54=B45)*(DE3:DE54="D"))</f>
        <v>0</v>
      </c>
      <c r="E45" s="194">
        <f>SUMPRODUCT((CZ3:CZ54=B45)*(DD3:DD54="L"))+SUMPRODUCT((DC3:DC54=B45)*(DE3:DE54="L"))</f>
        <v>0</v>
      </c>
      <c r="F45" s="194">
        <f>SUMIF(CZ3:CZ72,B45,DA3:DA72)+SUMIF(DC3:DC72,B45,DB3:DB72)</f>
        <v>0</v>
      </c>
      <c r="G45" s="194">
        <f>SUMIF(DC3:DC72,B45,DA3:DA72)+SUMIF(CZ3:CZ72,B45,DB3:DB72)</f>
        <v>0</v>
      </c>
      <c r="H45" s="194">
        <f t="shared" si="77"/>
        <v>1000</v>
      </c>
      <c r="I45" s="194">
        <f t="shared" si="78"/>
        <v>0</v>
      </c>
      <c r="J45" s="194">
        <f>IF(Setup!G34&lt;&gt;"",Setup!G34,2)</f>
        <v>2</v>
      </c>
      <c r="K45" s="194">
        <f>IF(COUNTIF(I43:I46,4)&lt;&gt;4,RANK(I45,I43:I46),I97)</f>
        <v>1</v>
      </c>
      <c r="M45" s="194">
        <f>IF(Matches!B86="© 2025 | journalSHEET.com",SUMPRODUCT((K43:K46=K45)*(J43:J46&lt;J45))+K45,3)</f>
        <v>1</v>
      </c>
      <c r="N45" s="195" t="str">
        <f>INDEX(B43:B47,MATCH(3,M43:M47,0),0)</f>
        <v>Juventus</v>
      </c>
      <c r="O45" s="194">
        <f>INDEX(K43:K47,MATCH(N45,B43:B47,0),0)</f>
        <v>1</v>
      </c>
      <c r="P45" s="194" t="str">
        <f>IF(AND(P44&lt;&gt;"",O45=1),N45,"")</f>
        <v>Juventus</v>
      </c>
      <c r="Q45" s="194" t="str">
        <f>IF(AND(Q44&lt;&gt;"",O46=2),N46,"")</f>
        <v/>
      </c>
      <c r="R45" s="194" t="str">
        <f>IF(AND(R44&lt;&gt;"",O47=3),N47,"")</f>
        <v/>
      </c>
      <c r="U45" s="194" t="str">
        <f t="shared" si="82"/>
        <v>Juventus</v>
      </c>
      <c r="V45" s="194">
        <f>SUMPRODUCT((CZ3:CZ54=U45)*(DC3:DC54=U46)*(DD3:DD54="W"))+SUMPRODUCT((CZ3:CZ54=U45)*(DC3:DC54=U47)*(DD3:DD54="W"))+SUMPRODUCT((CZ3:CZ54=U45)*(DC3:DC54=U43)*(DD3:DD54="W"))+SUMPRODUCT((CZ3:CZ54=U45)*(DC3:DC54=U44)*(DD3:DD54="W"))+SUMPRODUCT((CZ3:CZ54=U46)*(DC3:DC54=U45)*(DE3:DE54="W"))+SUMPRODUCT((CZ3:CZ54=U47)*(DC3:DC54=U45)*(DE3:DE54="W"))+SUMPRODUCT((CZ3:CZ54=U43)*(DC3:DC54=U45)*(DE3:DE54="W"))+SUMPRODUCT((CZ3:CZ54=U44)*(DC3:DC54=U45)*(DE3:DE54="W"))</f>
        <v>0</v>
      </c>
      <c r="W45" s="194">
        <f>SUMPRODUCT((CZ3:CZ54=U45)*(DC3:DC54=U46)*(DD3:DD54="D"))+SUMPRODUCT((CZ3:CZ54=U45)*(DC3:DC54=U47)*(DD3:DD54="D"))+SUMPRODUCT((CZ3:CZ54=U45)*(DC3:DC54=U43)*(DD3:DD54="D"))+SUMPRODUCT((CZ3:CZ54=U45)*(DC3:DC54=U44)*(DD3:DD54="D"))+SUMPRODUCT((CZ3:CZ54=U46)*(DC3:DC54=U45)*(DD3:DD54="D"))+SUMPRODUCT((CZ3:CZ54=U47)*(DC3:DC54=U45)*(DD3:DD54="D"))+SUMPRODUCT((CZ3:CZ54=U43)*(DC3:DC54=U45)*(DD3:DD54="D"))+SUMPRODUCT((CZ3:CZ54=U44)*(DC3:DC54=U45)*(DD3:DD54="D"))</f>
        <v>0</v>
      </c>
      <c r="X45" s="194">
        <f>SUMPRODUCT((CZ3:CZ54=U45)*(DC3:DC54=U46)*(DD3:DD54="L"))+SUMPRODUCT((CZ3:CZ54=U45)*(DC3:DC54=U47)*(DD3:DD54="L"))+SUMPRODUCT((CZ3:CZ54=U45)*(DC3:DC54=U43)*(DD3:DD54="L"))+SUMPRODUCT((CZ3:CZ54=U45)*(DC3:DC54=U44)*(DD3:DD54="L"))+SUMPRODUCT((CZ3:CZ54=U46)*(DC3:DC54=U45)*(DE3:DE54="L"))+SUMPRODUCT((CZ3:CZ54=U47)*(DC3:DC54=U45)*(DE3:DE54="L"))+SUMPRODUCT((CZ3:CZ54=U43)*(DC3:DC54=U45)*(DE3:DE54="L"))+SUMPRODUCT((CZ3:CZ54=U44)*(DC3:DC54=U45)*(DE3:DE54="L"))</f>
        <v>0</v>
      </c>
      <c r="Y45" s="194">
        <f>SUMPRODUCT((CZ3:CZ54=U45)*(DC3:DC54=U46)*DA3:DA54)+SUMPRODUCT((CZ3:CZ54=U45)*(DC3:DC54=U47)*DA3:DA54)+SUMPRODUCT((CZ3:CZ54=U45)*(DC3:DC54=U43)*DA3:DA54)+SUMPRODUCT((CZ3:CZ54=U45)*(DC3:DC54=U44)*DA3:DA54)+SUMPRODUCT((CZ3:CZ54=U46)*(DC3:DC54=U45)*DB3:DB54)+SUMPRODUCT((CZ3:CZ54=U47)*(DC3:DC54=U45)*DB3:DB54)+SUMPRODUCT((CZ3:CZ54=U43)*(DC3:DC54=U45)*DB3:DB54)+SUMPRODUCT((CZ3:CZ54=U44)*(DC3:DC54=U45)*DB3:DB54)</f>
        <v>0</v>
      </c>
      <c r="Z45" s="194">
        <f>SUMPRODUCT((CZ3:CZ54=U45)*(DC3:DC54=U46)*DB3:DB54)+SUMPRODUCT((CZ3:CZ54=U45)*(DC3:DC54=U47)*DB3:DB54)+SUMPRODUCT((CZ3:CZ54=U45)*(DC3:DC54=U43)*DB3:DB54)+SUMPRODUCT((CZ3:CZ54=U45)*(DC3:DC54=U44)*DB3:DB54)+SUMPRODUCT((CZ3:CZ54=U46)*(DC3:DC54=U45)*DA3:DA54)+SUMPRODUCT((CZ3:CZ54=U47)*(DC3:DC54=U45)*DA3:DA54)+SUMPRODUCT((CZ3:CZ54=U43)*(DC3:DC54=U45)*DA3:DA54)+SUMPRODUCT((CZ3:CZ54=U44)*(DC3:DC54=U45)*DA3:DA54)</f>
        <v>0</v>
      </c>
      <c r="AA45" s="194">
        <f>Y45-Z45+1000</f>
        <v>1000</v>
      </c>
      <c r="AB45" s="194">
        <f t="shared" si="79"/>
        <v>0</v>
      </c>
      <c r="AC45" s="194">
        <f>IF(U45&lt;&gt;"",VLOOKUP(U45,B4:H52,7,FALSE),"")</f>
        <v>1000</v>
      </c>
      <c r="AD45" s="194">
        <f>IF(U45&lt;&gt;"",VLOOKUP(U45,B4:H52,5,FALSE),"")</f>
        <v>0</v>
      </c>
      <c r="AE45" s="194">
        <f>IF(U45&lt;&gt;"",VLOOKUP(U45,B4:J52,9,FALSE),"")</f>
        <v>19</v>
      </c>
      <c r="AF45" s="194">
        <f t="shared" si="80"/>
        <v>0</v>
      </c>
      <c r="AG45" s="194">
        <f>IF(U45&lt;&gt;"",RANK(AF45,AF43:AF47),"")</f>
        <v>1</v>
      </c>
      <c r="AH45" s="194">
        <f>IF(U45&lt;&gt;"",SUMPRODUCT((AF43:AF47=AF45)*(AA43:AA47&gt;AA45)),"")</f>
        <v>0</v>
      </c>
      <c r="AI45" s="194">
        <f>IF(U45&lt;&gt;"",SUMPRODUCT((AF43:AF47=AF45)*(AA43:AA47=AA45)*(Y43:Y47&gt;Y45)),"")</f>
        <v>0</v>
      </c>
      <c r="AJ45" s="194">
        <f>IF(U45&lt;&gt;"",SUMPRODUCT((AF43:AF47=AF45)*(AA43:AA47=AA45)*(Y43:Y47=Y45)*(AC43:AC47&gt;AC45)),"")</f>
        <v>0</v>
      </c>
      <c r="AK45" s="194">
        <f>IF(U45&lt;&gt;"",SUMPRODUCT((AF43:AF47=AF45)*(AA43:AA47=AA45)*(Y43:Y47=Y45)*(AC43:AC47=AC45)*(AD43:AD47&gt;AD45)),"")</f>
        <v>0</v>
      </c>
      <c r="AL45" s="194">
        <f>IF(U45&lt;&gt;"",SUMPRODUCT((AF43:AF47=AF45)*(AA43:AA47=AA45)*(Y43:Y47=Y45)*(AC43:AC47=AC45)*(AD43:AD47=AD45)*(AE43:AE47&gt;AE45)),"")</f>
        <v>1</v>
      </c>
      <c r="AM45" s="194">
        <f>IF(U45&lt;&gt;"",IF(AM97&lt;&gt;"",IF(T94=3,AM97,AM97+T94),SUM(AG45:AL45)),"")</f>
        <v>2</v>
      </c>
      <c r="AN45" s="194" t="str">
        <f>IF(U45&lt;&gt;"",INDEX(U43:U47,MATCH(3,AM43:AM47,0),0),"")</f>
        <v>Wydad AC</v>
      </c>
      <c r="AO45" s="194" t="str">
        <f>IF(Q44&lt;&gt;"",Q44,"")</f>
        <v/>
      </c>
      <c r="AP45" s="194">
        <f>SUMPRODUCT((CZ3:CZ54=AO45)*(DC3:DC54=AO46)*(DD3:DD54="W"))+SUMPRODUCT((CZ3:CZ54=AO45)*(DC3:DC54=AO47)*(DD3:DD54="W"))+SUMPRODUCT((CZ3:CZ54=AO45)*(DC3:DC54=AO44)*(DD3:DD54="W"))+SUMPRODUCT((CZ3:CZ54=AO46)*(DC3:DC54=AO45)*(DE3:DE54="W"))+SUMPRODUCT((CZ3:CZ54=AO47)*(DC3:DC54=AO45)*(DE3:DE54="W"))+SUMPRODUCT((CZ3:CZ54=AO44)*(DC3:DC54=AO45)*(DE3:DE54="W"))</f>
        <v>0</v>
      </c>
      <c r="AQ45" s="194">
        <f>SUMPRODUCT((CZ3:CZ54=AO45)*(DC3:DC54=AO46)*(DD3:DD54="D"))+SUMPRODUCT((CZ3:CZ54=AO45)*(DC3:DC54=AO47)*(DD3:DD54="D"))+SUMPRODUCT((CZ3:CZ54=AO45)*(DC3:DC54=AO44)*(DD3:DD54="D"))+SUMPRODUCT((CZ3:CZ54=AO46)*(DC3:DC54=AO45)*(DD3:DD54="D"))+SUMPRODUCT((CZ3:CZ54=AO47)*(DC3:DC54=AO45)*(DD3:DD54="D"))+SUMPRODUCT((CZ3:CZ54=AO44)*(DC3:DC54=AO45)*(DD3:DD54="D"))</f>
        <v>0</v>
      </c>
      <c r="AR45" s="194">
        <f>SUMPRODUCT((CZ3:CZ54=AO45)*(DC3:DC54=AO46)*(DD3:DD54="L"))+SUMPRODUCT((CZ3:CZ54=AO45)*(DC3:DC54=AO47)*(DD3:DD54="L"))+SUMPRODUCT((CZ3:CZ54=AO45)*(DC3:DC54=AO44)*(DD3:DD54="L"))+SUMPRODUCT((CZ3:CZ54=AO46)*(DC3:DC54=AO45)*(DE3:DE54="L"))+SUMPRODUCT((CZ3:CZ54=AO47)*(DC3:DC54=AO45)*(DE3:DE54="L"))+SUMPRODUCT((CZ3:CZ54=AO44)*(DC3:DC54=AO45)*(DE3:DE54="L"))</f>
        <v>0</v>
      </c>
      <c r="AS45" s="194">
        <f>SUMPRODUCT((CZ3:CZ54=AO45)*(DC3:DC54=AO46)*DA3:DA54)+SUMPRODUCT((CZ3:CZ54=AO45)*(DC3:DC54=AO47)*DA3:DA54)+SUMPRODUCT((CZ3:CZ54=AO45)*(DC3:DC54=AO43)*DA3:DA54)+SUMPRODUCT((CZ3:CZ54=AO45)*(DC3:DC54=AO44)*DA3:DA54)+SUMPRODUCT((CZ3:CZ54=AO46)*(DC3:DC54=AO45)*DB3:DB54)+SUMPRODUCT((CZ3:CZ54=AO47)*(DC3:DC54=AO45)*DB3:DB54)+SUMPRODUCT((CZ3:CZ54=AO43)*(DC3:DC54=AO45)*DB3:DB54)+SUMPRODUCT((CZ3:CZ54=AO44)*(DC3:DC54=AO45)*DB3:DB54)</f>
        <v>0</v>
      </c>
      <c r="AT45" s="194">
        <f>SUMPRODUCT((CZ3:CZ54=AO45)*(DC3:DC54=AO46)*DB3:DB54)+SUMPRODUCT((CZ3:CZ54=AO45)*(DC3:DC54=AO47)*DB3:DB54)+SUMPRODUCT((CZ3:CZ54=AO45)*(DC3:DC54=AO43)*DB3:DB54)+SUMPRODUCT((CZ3:CZ54=AO45)*(DC3:DC54=AO44)*DB3:DB54)+SUMPRODUCT((CZ3:CZ54=AO46)*(DC3:DC54=AO45)*DA3:DA54)+SUMPRODUCT((CZ3:CZ54=AO47)*(DC3:DC54=AO45)*DA3:DA54)+SUMPRODUCT((CZ3:CZ54=AO43)*(DC3:DC54=AO45)*DA3:DA54)+SUMPRODUCT((CZ3:CZ54=AO44)*(DC3:DC54=AO45)*DA3:DA54)</f>
        <v>0</v>
      </c>
      <c r="AU45" s="194">
        <f>AS45-AT45+1000</f>
        <v>1000</v>
      </c>
      <c r="AV45" s="194" t="str">
        <f t="shared" si="83"/>
        <v/>
      </c>
      <c r="AW45" s="194" t="str">
        <f>IF(AO45&lt;&gt;"",VLOOKUP(AO45,B4:H52,7,FALSE),"")</f>
        <v/>
      </c>
      <c r="AX45" s="194" t="str">
        <f>IF(AO45&lt;&gt;"",VLOOKUP(AO45,B4:H52,5,FALSE),"")</f>
        <v/>
      </c>
      <c r="AY45" s="194" t="str">
        <f>IF(AO45&lt;&gt;"",VLOOKUP(AO45,B4:J52,9,FALSE),"")</f>
        <v/>
      </c>
      <c r="AZ45" s="194" t="str">
        <f t="shared" si="84"/>
        <v/>
      </c>
      <c r="BA45" s="194" t="str">
        <f>IF(AO45&lt;&gt;"",RANK(AZ45,AZ43:AZ46),"")</f>
        <v/>
      </c>
      <c r="BB45" s="194" t="str">
        <f>IF(AO45&lt;&gt;"",SUMPRODUCT((AZ43:AZ47=AZ45)*(AU43:AU47&gt;AU45)),"")</f>
        <v/>
      </c>
      <c r="BC45" s="194" t="str">
        <f>IF(AO45&lt;&gt;"",SUMPRODUCT((AZ43:AZ47=AZ45)*(AU43:AU47=AU45)*(AS43:AS47&gt;AS45)),"")</f>
        <v/>
      </c>
      <c r="BD45" s="194" t="str">
        <f>IF(AO45&lt;&gt;"",SUMPRODUCT((AZ43:AZ47=AZ45)*(AU43:AU47=AU45)*(AS43:AS47=AS45)*(AW43:AW47&gt;AW45)),"")</f>
        <v/>
      </c>
      <c r="BE45" s="194" t="str">
        <f>IF(AO45&lt;&gt;"",SUMPRODUCT((AZ43:AZ47=AZ45)*(AU43:AU47=AU45)*(AS43:AS47=AS45)*(AW43:AW47=AW45)*(AX43:AX47&gt;AX45)),"")</f>
        <v/>
      </c>
      <c r="BF45" s="194" t="str">
        <f>IF(AO45&lt;&gt;"",SUMPRODUCT((AZ43:AZ47=AZ45)*(AU43:AU47=AU45)*(AS43:AS47=AS45)*(AW43:AW47=AW45)*(AX43:AX47=AX45)*(AY43:AY47&gt;AY45)),"")</f>
        <v/>
      </c>
      <c r="BG45" s="194" t="str">
        <f>IF(AO45&lt;&gt;"",IF(BG97&lt;&gt;"",IF(AN94=3,BG97,BG97+AN94),SUM(BA45:BF45)+1),"")</f>
        <v/>
      </c>
      <c r="BH45" s="194" t="str">
        <f>IF(AO45&lt;&gt;"",INDEX(AO44:AO47,MATCH(3,BG44:BG47,0),0),"")</f>
        <v/>
      </c>
      <c r="BI45" s="194" t="str">
        <f>IF(R43&lt;&gt;"",R43,"")</f>
        <v/>
      </c>
      <c r="BJ45" s="194">
        <f>SUMPRODUCT((CZ3:CZ54=BI45)*(DC3:DC54=BI46)*(DD3:DD54="W"))+SUMPRODUCT((CZ3:CZ54=BI45)*(DC3:DC54=BI47)*(DD3:DD54="W"))+SUMPRODUCT((CZ3:CZ54=BI45)*(DC3:DC54=BI60)*(DD3:DD54="W"))+SUMPRODUCT((CZ3:CZ54=BI46)*(DC3:DC54=BI45)*(DE3:DE54="W"))+SUMPRODUCT((CZ3:CZ54=BI47)*(DC3:DC54=BI45)*(DE3:DE54="W"))+SUMPRODUCT((CZ3:CZ54=BI60)*(DC3:DC54=BI45)*(DE3:DE54="W"))</f>
        <v>0</v>
      </c>
      <c r="BK45" s="194">
        <f>SUMPRODUCT((CZ3:CZ54=BI45)*(DC3:DC54=BI46)*(DD3:DD54="D"))+SUMPRODUCT((CZ3:CZ54=BI45)*(DC3:DC54=BI47)*(DD3:DD54="D"))+SUMPRODUCT((CZ3:CZ54=BI45)*(DC3:DC54=BI60)*(DD3:DD54="D"))+SUMPRODUCT((CZ3:CZ54=BI46)*(DC3:DC54=BI45)*(DD3:DD54="D"))+SUMPRODUCT((CZ3:CZ54=BI47)*(DC3:DC54=BI45)*(DD3:DD54="D"))+SUMPRODUCT((CZ3:CZ54=BI60)*(DC3:DC54=BI45)*(DD3:DD54="D"))</f>
        <v>0</v>
      </c>
      <c r="BL45" s="194">
        <f>SUMPRODUCT((CZ3:CZ54=BI45)*(DC3:DC54=BI46)*(DD3:DD54="L"))+SUMPRODUCT((CZ3:CZ54=BI45)*(DC3:DC54=BI47)*(DD3:DD54="L"))+SUMPRODUCT((CZ3:CZ54=BI45)*(DC3:DC54=BI60)*(DD3:DD54="L"))+SUMPRODUCT((CZ3:CZ54=BI46)*(DC3:DC54=BI45)*(DE3:DE54="L"))+SUMPRODUCT((CZ3:CZ54=BI47)*(DC3:DC54=BI45)*(DE3:DE54="L"))+SUMPRODUCT((CZ3:CZ54=BI60)*(DC3:DC54=BI45)*(DE3:DE54="L"))</f>
        <v>0</v>
      </c>
      <c r="BM45" s="194">
        <f>SUMPRODUCT((CZ3:CZ54=BI45)*(DC3:DC54=BI46)*DA3:DA54)+SUMPRODUCT((CZ3:CZ54=BI45)*(DC3:DC54=BI47)*DA3:DA54)+SUMPRODUCT((CZ3:CZ54=BI45)*(DC3:DC54=BI43)*DA3:DA54)+SUMPRODUCT((CZ3:CZ54=BI45)*(DC3:DC54=BI44)*DA3:DA54)+SUMPRODUCT((CZ3:CZ54=BI46)*(DC3:DC54=BI45)*DB3:DB54)+SUMPRODUCT((CZ3:CZ54=BI47)*(DC3:DC54=BI45)*DB3:DB54)+SUMPRODUCT((CZ3:CZ54=BI43)*(DC3:DC54=BI45)*DB3:DB54)+SUMPRODUCT((CZ3:CZ54=BI44)*(DC3:DC54=BI45)*DB3:DB54)</f>
        <v>0</v>
      </c>
      <c r="BN45" s="194">
        <f>SUMPRODUCT((CZ3:CZ54=BI45)*(DC3:DC54=BI46)*DB3:DB54)+SUMPRODUCT((CZ3:CZ54=BI45)*(DC3:DC54=BI47)*DB3:DB54)+SUMPRODUCT((CZ3:CZ54=BI45)*(DC3:DC54=BI43)*DB3:DB54)+SUMPRODUCT((CZ3:CZ54=BI45)*(DC3:DC54=BI44)*DB3:DB54)+SUMPRODUCT((CZ3:CZ54=BI46)*(DC3:DC54=BI45)*DA3:DA54)+SUMPRODUCT((CZ3:CZ54=BI47)*(DC3:DC54=BI45)*DA3:DA54)+SUMPRODUCT((CZ3:CZ54=BI43)*(DC3:DC54=BI45)*DA3:DA54)+SUMPRODUCT((CZ3:CZ54=BI44)*(DC3:DC54=BI45)*DA3:DA54)</f>
        <v>0</v>
      </c>
      <c r="BO45" s="194">
        <f>BM45-BN45+1000</f>
        <v>1000</v>
      </c>
      <c r="BP45" s="194" t="str">
        <f t="shared" ref="BP45:BP46" si="85">IF(BI45&lt;&gt;"",BJ45*3+BK45*1,"")</f>
        <v/>
      </c>
      <c r="BQ45" s="194" t="str">
        <f>IF(BI45&lt;&gt;"",VLOOKUP(BI45,B4:H52,7,FALSE),"")</f>
        <v/>
      </c>
      <c r="BR45" s="194" t="str">
        <f>IF(BI45&lt;&gt;"",VLOOKUP(BI45,B4:H52,5,FALSE),"")</f>
        <v/>
      </c>
      <c r="BS45" s="194" t="str">
        <f>IF(BI45&lt;&gt;"",VLOOKUP(BI45,B4:J52,9,FALSE),"")</f>
        <v/>
      </c>
      <c r="BT45" s="194" t="str">
        <f t="shared" ref="BT45:BT46" si="86">BP45</f>
        <v/>
      </c>
      <c r="BU45" s="194" t="str">
        <f>IF(BI45&lt;&gt;"",RANK(BT45,BT44:BT46),"")</f>
        <v/>
      </c>
      <c r="BV45" s="194" t="str">
        <f>IF(BI45&lt;&gt;"",SUMPRODUCT((BT43:BT47=BT45)*(BO43:BO47&gt;BO45)),"")</f>
        <v/>
      </c>
      <c r="BW45" s="194" t="str">
        <f>IF(BI45&lt;&gt;"",SUMPRODUCT((BT43:BT47=BT45)*(BO43:BO47=BO45)*(BM43:BM47&gt;BM45)),"")</f>
        <v/>
      </c>
      <c r="BX45" s="194" t="str">
        <f>IF(BI45&lt;&gt;"",SUMPRODUCT((BT43:BT47=BT45)*(BO43:BO47=BO45)*(BM43:BM47=BM45)*(BQ43:BQ47&gt;BQ45)),"")</f>
        <v/>
      </c>
      <c r="BY45" s="194" t="str">
        <f>IF(BI45&lt;&gt;"",SUMPRODUCT((BT43:BT47=BT45)*(BO43:BO47=BO45)*(BM43:BM47=BM45)*(BQ43:BQ47=BQ45)*(BR43:BR47&gt;BR45)),"")</f>
        <v/>
      </c>
      <c r="BZ45" s="194" t="str">
        <f>IF(BI45&lt;&gt;"",SUMPRODUCT((BT43:BT47=BT45)*(BO43:BO47=BO45)*(BM43:BM47=BM45)*(BQ43:BQ47=BQ45)*(BR43:BR47=BR45)*(BS43:BS47&gt;BS45)),"")</f>
        <v/>
      </c>
      <c r="CA45" s="194" t="str">
        <f>IF(BI45&lt;&gt;"",SUM(BU45:BZ45)+2,"")</f>
        <v/>
      </c>
      <c r="CB45" s="194" t="str">
        <f>IF(BI45&lt;&gt;"",INDEX(BI45:BI47,MATCH(3,CA45:CA47,0),0),"")</f>
        <v/>
      </c>
      <c r="CW45" s="194" t="str">
        <f>IF(CB45&lt;&gt;"",CB45,IF(BH45&lt;&gt;"",BH45,IF(AN45&lt;&gt;"",AN45,N45)))</f>
        <v>Wydad AC</v>
      </c>
      <c r="CX45" s="194">
        <v>3</v>
      </c>
      <c r="CZ45" s="194" t="str">
        <f>Matches!H46</f>
        <v>Internazionale</v>
      </c>
      <c r="DA45" s="194">
        <f>IF(CZ2&lt;&gt;"",IF(AND(Matches!J46&lt;&gt;"",Matches!K46&lt;&gt;""),Matches!J46,0),"")</f>
        <v>0</v>
      </c>
      <c r="DB45" s="194">
        <f>IF(CZ2&lt;&gt;"",IF(AND(Matches!J46&lt;&gt;"",Matches!K46&lt;&gt;""),Matches!K46,0),"")</f>
        <v>0</v>
      </c>
      <c r="DC45" s="194" t="str">
        <f>Matches!M46</f>
        <v>River Plate</v>
      </c>
      <c r="DD45" s="194" t="str">
        <f>IF(AND(Matches!J46&lt;&gt;"",Matches!K46&lt;&gt;""),IF(DA45&gt;DB45,"W",IF(DA45=DB45,"D","L")),"")</f>
        <v/>
      </c>
      <c r="DE45" s="194" t="str">
        <f t="shared" si="0"/>
        <v/>
      </c>
      <c r="DR45" s="196" t="str">
        <f>Matches!D64</f>
        <v>Group F Runner Up</v>
      </c>
      <c r="DT45" s="196" t="str">
        <f>IF(ISERROR("Calculator!"&amp;VLOOKUP(DR45,Calculator!DR7:DS38,2,FALSE)),"Calculator!dq77","Calculator!"&amp;VLOOKUP(DR45,Calculator!DR7:DS38,2,FALSE))</f>
        <v>Calculator!dq77</v>
      </c>
      <c r="DV45" s="202" t="s">
        <v>112</v>
      </c>
      <c r="DW45" s="20"/>
      <c r="DX45" s="9">
        <v>39</v>
      </c>
      <c r="DY45" s="203">
        <f t="shared" si="13"/>
        <v>45832.875</v>
      </c>
      <c r="DZ45" s="206">
        <v>45832.875</v>
      </c>
      <c r="EA45" s="205">
        <f t="shared" si="74"/>
        <v>45832.875</v>
      </c>
      <c r="EB45" s="206">
        <v>45832.875</v>
      </c>
    </row>
    <row r="46" spans="1:134" x14ac:dyDescent="0.25">
      <c r="A46" s="194">
        <f>VLOOKUP(B46,CW43:CX46,2,FALSE)</f>
        <v>2</v>
      </c>
      <c r="B46" s="195" t="str">
        <f t="shared" si="81"/>
        <v>Juventus</v>
      </c>
      <c r="C46" s="194">
        <f>SUMPRODUCT((CZ3:CZ54=B46)*(DD3:DD54="W"))+SUMPRODUCT((DC3:DC54=B46)*(DE3:DE54="W"))</f>
        <v>0</v>
      </c>
      <c r="D46" s="194">
        <f>SUMPRODUCT((CZ3:CZ54=B46)*(DD3:DD54="D"))+SUMPRODUCT((DC3:DC54=B46)*(DE3:DE54="D"))</f>
        <v>0</v>
      </c>
      <c r="E46" s="194">
        <f>SUMPRODUCT((CZ3:CZ54=B46)*(DD3:DD54="L"))+SUMPRODUCT((DC3:DC54=B46)*(DE3:DE54="L"))</f>
        <v>0</v>
      </c>
      <c r="F46" s="194">
        <f>SUMIF(CZ3:CZ72,B46,DA3:DA72)+SUMIF(DC3:DC72,B46,DB3:DB72)</f>
        <v>0</v>
      </c>
      <c r="G46" s="194">
        <f>SUMIF(DC3:DC72,B46,DA3:DA72)+SUMIF(CZ3:CZ72,B46,DB3:DB72)</f>
        <v>0</v>
      </c>
      <c r="H46" s="194">
        <f t="shared" si="77"/>
        <v>1000</v>
      </c>
      <c r="I46" s="194">
        <f t="shared" si="78"/>
        <v>0</v>
      </c>
      <c r="J46" s="194">
        <f>IF(Setup!G35&lt;&gt;"",Setup!G35,19)</f>
        <v>19</v>
      </c>
      <c r="K46" s="194">
        <f>IF(COUNTIF(I43:I46,4)&lt;&gt;4,RANK(I46,I43:I46),I98)</f>
        <v>1</v>
      </c>
      <c r="M46" s="194">
        <f>SUMPRODUCT((K43:K46=K46)*(J43:J46&lt;J46))+K46</f>
        <v>3</v>
      </c>
      <c r="N46" s="195" t="str">
        <f>INDEX(B43:B47,MATCH(4,M43:M47,0),0)</f>
        <v>Manchester City</v>
      </c>
      <c r="O46" s="194">
        <f>INDEX(K43:K47,MATCH(N46,B43:B47,0),0)</f>
        <v>1</v>
      </c>
      <c r="P46" s="194" t="str">
        <f>IF(AND(P45&lt;&gt;"",O46=1),N46,"")</f>
        <v>Manchester City</v>
      </c>
      <c r="Q46" s="194" t="str">
        <f>IF(AND(Q45&lt;&gt;"",O47=2),N47,"")</f>
        <v/>
      </c>
      <c r="U46" s="194" t="str">
        <f t="shared" si="82"/>
        <v>Manchester City</v>
      </c>
      <c r="V46" s="194">
        <f>SUMPRODUCT((CZ3:CZ54=U46)*(DC3:DC54=U47)*(DD3:DD54="W"))+SUMPRODUCT((CZ3:CZ54=U46)*(DC3:DC54=U43)*(DD3:DD54="W"))+SUMPRODUCT((CZ3:CZ54=U46)*(DC3:DC54=U44)*(DD3:DD54="W"))+SUMPRODUCT((CZ3:CZ54=U46)*(DC3:DC54=U45)*(DD3:DD54="W"))+SUMPRODUCT((CZ3:CZ54=U47)*(DC3:DC54=U46)*(DE3:DE54="W"))+SUMPRODUCT((CZ3:CZ54=U43)*(DC3:DC54=U46)*(DE3:DE54="W"))+SUMPRODUCT((CZ3:CZ54=U44)*(DC3:DC54=U46)*(DE3:DE54="W"))+SUMPRODUCT((CZ3:CZ54=U45)*(DC3:DC54=U46)*(DE3:DE54="W"))</f>
        <v>0</v>
      </c>
      <c r="W46" s="194">
        <f>SUMPRODUCT((CZ3:CZ54=U46)*(DC3:DC54=U47)*(DD3:DD54="D"))+SUMPRODUCT((CZ3:CZ54=U46)*(DC3:DC54=U43)*(DD3:DD54="D"))+SUMPRODUCT((CZ3:CZ54=U46)*(DC3:DC54=U44)*(DD3:DD54="D"))+SUMPRODUCT((CZ3:CZ54=U46)*(DC3:DC54=U45)*(DD3:DD54="D"))+SUMPRODUCT((CZ3:CZ54=U47)*(DC3:DC54=U46)*(DD3:DD54="D"))+SUMPRODUCT((CZ3:CZ54=U43)*(DC3:DC54=U46)*(DD3:DD54="D"))+SUMPRODUCT((CZ3:CZ54=U44)*(DC3:DC54=U46)*(DD3:DD54="D"))+SUMPRODUCT((CZ3:CZ54=U45)*(DC3:DC54=U46)*(DD3:DD54="D"))</f>
        <v>0</v>
      </c>
      <c r="X46" s="194">
        <f>SUMPRODUCT((CZ3:CZ54=U46)*(DC3:DC54=U47)*(DD3:DD54="L"))+SUMPRODUCT((CZ3:CZ54=U46)*(DC3:DC54=U43)*(DD3:DD54="L"))+SUMPRODUCT((CZ3:CZ54=U46)*(DC3:DC54=U44)*(DD3:DD54="L"))+SUMPRODUCT((CZ3:CZ54=U46)*(DC3:DC54=U45)*(DD3:DD54="L"))+SUMPRODUCT((CZ3:CZ54=U47)*(DC3:DC54=U46)*(DE3:DE54="L"))+SUMPRODUCT((CZ3:CZ54=U43)*(DC3:DC54=U46)*(DE3:DE54="L"))+SUMPRODUCT((CZ3:CZ54=U44)*(DC3:DC54=U46)*(DE3:DE54="L"))+SUMPRODUCT((CZ3:CZ54=U45)*(DC3:DC54=U46)*(DE3:DE54="L"))</f>
        <v>0</v>
      </c>
      <c r="Y46" s="194">
        <f>SUMPRODUCT((CZ3:CZ54=U46)*(DC3:DC54=U47)*DA3:DA54)+SUMPRODUCT((CZ3:CZ54=U46)*(DC3:DC54=U43)*DA3:DA54)+SUMPRODUCT((CZ3:CZ54=U46)*(DC3:DC54=U44)*DA3:DA54)+SUMPRODUCT((CZ3:CZ54=U46)*(DC3:DC54=U45)*DA3:DA54)+SUMPRODUCT((CZ3:CZ54=U47)*(DC3:DC54=U46)*DB3:DB54)+SUMPRODUCT((CZ3:CZ54=U43)*(DC3:DC54=U46)*DB3:DB54)+SUMPRODUCT((CZ3:CZ54=U44)*(DC3:DC54=U46)*DB3:DB54)+SUMPRODUCT((CZ3:CZ54=U45)*(DC3:DC54=U46)*DB3:DB54)</f>
        <v>0</v>
      </c>
      <c r="Z46" s="194">
        <f>SUMPRODUCT((CZ3:CZ54=U46)*(DC3:DC54=U47)*DB3:DB54)+SUMPRODUCT((CZ3:CZ54=U46)*(DC3:DC54=U43)*DB3:DB54)+SUMPRODUCT((CZ3:CZ54=U46)*(DC3:DC54=U44)*DB3:DB54)+SUMPRODUCT((CZ3:CZ54=U46)*(DC3:DC54=U45)*DB3:DB54)+SUMPRODUCT((CZ3:CZ54=U47)*(DC3:DC54=U46)*DA3:DA54)+SUMPRODUCT((CZ3:CZ54=U43)*(DC3:DC54=U46)*DA3:DA54)+SUMPRODUCT((CZ3:CZ54=U44)*(DC3:DC54=U46)*DA3:DA54)+SUMPRODUCT((CZ3:CZ54=U45)*(DC3:DC54=U46)*DA3:DA54)</f>
        <v>0</v>
      </c>
      <c r="AA46" s="194">
        <f>Y46-Z46+1000</f>
        <v>1000</v>
      </c>
      <c r="AB46" s="194">
        <f t="shared" si="79"/>
        <v>0</v>
      </c>
      <c r="AC46" s="194">
        <f>IF(U46&lt;&gt;"",VLOOKUP(U46,B4:H52,7,FALSE),"")</f>
        <v>1000</v>
      </c>
      <c r="AD46" s="194">
        <f>IF(U46&lt;&gt;"",VLOOKUP(U46,B4:H52,5,FALSE),"")</f>
        <v>0</v>
      </c>
      <c r="AE46" s="194">
        <f>IF(U46&lt;&gt;"",VLOOKUP(U46,B4:J52,9,FALSE),"")</f>
        <v>31</v>
      </c>
      <c r="AF46" s="194">
        <f t="shared" si="80"/>
        <v>0</v>
      </c>
      <c r="AG46" s="194">
        <f>IF(U46&lt;&gt;"",RANK(AF46,AF43:AF47),"")</f>
        <v>1</v>
      </c>
      <c r="AH46" s="194">
        <f>IF(U46&lt;&gt;"",SUMPRODUCT((AF43:AF47=AF46)*(AA43:AA47&gt;AA46)),"")</f>
        <v>0</v>
      </c>
      <c r="AI46" s="194">
        <f>IF(U46&lt;&gt;"",SUMPRODUCT((AF43:AF47=AF46)*(AA43:AA47=AA46)*(Y43:Y47&gt;Y46)),"")</f>
        <v>0</v>
      </c>
      <c r="AJ46" s="194">
        <f>IF(U46&lt;&gt;"",SUMPRODUCT((AF43:AF47=AF46)*(AA43:AA47=AA46)*(Y43:Y47=Y46)*(AC43:AC47&gt;AC46)),"")</f>
        <v>0</v>
      </c>
      <c r="AK46" s="194">
        <f>IF(U46&lt;&gt;"",SUMPRODUCT((AF43:AF47=AF46)*(AA43:AA47=AA46)*(Y43:Y47=Y46)*(AC43:AC47=AC46)*(AD43:AD47&gt;AD46)),"")</f>
        <v>0</v>
      </c>
      <c r="AL46" s="194">
        <f>IF(U46&lt;&gt;"",SUMPRODUCT((AF43:AF47=AF46)*(AA43:AA47=AA46)*(Y43:Y47=Y46)*(AC43:AC47=AC46)*(AD43:AD47=AD46)*(AE43:AE47&gt;AE46)),"")</f>
        <v>0</v>
      </c>
      <c r="AM46" s="194">
        <f>IF(U46&lt;&gt;"",IF(AM98&lt;&gt;"",IF(T94=3,AM98,AM98+T94),SUM(AG46:AL46)),"")</f>
        <v>1</v>
      </c>
      <c r="AN46" s="194" t="str">
        <f>IF(U46&lt;&gt;"",INDEX(U43:U47,MATCH(4,AM43:AM47,0),0),"")</f>
        <v>Al Ain</v>
      </c>
      <c r="AO46" s="194" t="str">
        <f>IF(Q45&lt;&gt;"",Q45,"")</f>
        <v/>
      </c>
      <c r="AP46" s="194" t="str">
        <f>IF(AO46&lt;&gt;"",SUMPRODUCT((CZ3:CZ54=AO46)*(DC3:DC54=AO47)*(DD3:DD54="W"))+SUMPRODUCT((CZ3:CZ54=AO46)*(DC3:DC54=AO44)*(DD3:DD54="W"))+SUMPRODUCT((CZ3:CZ54=AO46)*(DC3:DC54=AO45)*(DD3:DD54="W"))+SUMPRODUCT((CZ3:CZ54=AO47)*(DC3:DC54=AO46)*(DE3:DE54="W"))+SUMPRODUCT((CZ3:CZ54=AO44)*(DC3:DC54=AO46)*(DE3:DE54="W"))+SUMPRODUCT((CZ3:CZ54=AO45)*(DC3:DC54=AO46)*(DE3:DE54="W")),"")</f>
        <v/>
      </c>
      <c r="AQ46" s="194" t="str">
        <f>IF(AO46&lt;&gt;"",SUMPRODUCT((CZ3:CZ54=AO46)*(DC3:DC54=AO47)*(DD3:DD54="D"))+SUMPRODUCT((CZ3:CZ54=AO46)*(DC3:DC54=AO44)*(DD3:DD54="D"))+SUMPRODUCT((CZ3:CZ54=AO46)*(DC3:DC54=AO45)*(DD3:DD54="D"))+SUMPRODUCT((CZ3:CZ54=AO47)*(DC3:DC54=AO46)*(DD3:DD54="D"))+SUMPRODUCT((CZ3:CZ54=AO44)*(DC3:DC54=AO46)*(DD3:DD54="D"))+SUMPRODUCT((CZ3:CZ54=AO45)*(DC3:DC54=AO46)*(DD3:DD54="D")),"")</f>
        <v/>
      </c>
      <c r="AR46" s="194" t="str">
        <f>IF(AO46&lt;&gt;"",SUMPRODUCT((CZ3:CZ54=AO46)*(DC3:DC54=AO47)*(DD3:DD54="L"))+SUMPRODUCT((CZ3:CZ54=AO46)*(DC3:DC54=AO44)*(DD3:DD54="L"))+SUMPRODUCT((CZ3:CZ54=AO46)*(DC3:DC54=AO45)*(DD3:DD54="L"))+SUMPRODUCT((CZ3:CZ54=AO47)*(DC3:DC54=AO46)*(DE3:DE54="L"))+SUMPRODUCT((CZ3:CZ54=AO44)*(DC3:DC54=AO46)*(DE3:DE54="L"))+SUMPRODUCT((CZ3:CZ54=AO45)*(DC3:DC54=AO46)*(DE3:DE54="L")),"")</f>
        <v/>
      </c>
      <c r="AS46" s="194">
        <f>SUMPRODUCT((CZ3:CZ54=AO46)*(DC3:DC54=AO47)*DA3:DA54)+SUMPRODUCT((CZ3:CZ54=AO46)*(DC3:DC54=AO43)*DA3:DA54)+SUMPRODUCT((CZ3:CZ54=AO46)*(DC3:DC54=AO44)*DA3:DA54)+SUMPRODUCT((CZ3:CZ54=AO46)*(DC3:DC54=AO45)*DA3:DA54)+SUMPRODUCT((CZ3:CZ54=AO47)*(DC3:DC54=AO46)*DB3:DB54)+SUMPRODUCT((CZ3:CZ54=AO43)*(DC3:DC54=AO46)*DB3:DB54)+SUMPRODUCT((CZ3:CZ54=AO44)*(DC3:DC54=AO46)*DB3:DB54)+SUMPRODUCT((CZ3:CZ54=AO45)*(DC3:DC54=AO46)*DB3:DB54)</f>
        <v>0</v>
      </c>
      <c r="AT46" s="194">
        <f>SUMPRODUCT((CZ3:CZ54=AO46)*(DC3:DC54=AO47)*DB3:DB54)+SUMPRODUCT((CZ3:CZ54=AO46)*(DC3:DC54=AO43)*DB3:DB54)+SUMPRODUCT((CZ3:CZ54=AO46)*(DC3:DC54=AO44)*DB3:DB54)+SUMPRODUCT((CZ3:CZ54=AO46)*(DC3:DC54=AO45)*DB3:DB54)+SUMPRODUCT((CZ3:CZ54=AO47)*(DC3:DC54=AO46)*DA3:DA54)+SUMPRODUCT((CZ3:CZ54=AO43)*(DC3:DC54=AO46)*DA3:DA54)+SUMPRODUCT((CZ3:CZ54=AO44)*(DC3:DC54=AO46)*DA3:DA54)+SUMPRODUCT((CZ3:CZ54=AO45)*(DC3:DC54=AO46)*DA3:DA54)</f>
        <v>0</v>
      </c>
      <c r="AU46" s="194">
        <f>AS46-AT46+1000</f>
        <v>1000</v>
      </c>
      <c r="AV46" s="194" t="str">
        <f t="shared" si="83"/>
        <v/>
      </c>
      <c r="AW46" s="194" t="str">
        <f>IF(AO46&lt;&gt;"",VLOOKUP(AO46,B4:H52,7,FALSE),"")</f>
        <v/>
      </c>
      <c r="AX46" s="194" t="str">
        <f>IF(AO46&lt;&gt;"",VLOOKUP(AO46,B4:H52,5,FALSE),"")</f>
        <v/>
      </c>
      <c r="AY46" s="194" t="str">
        <f>IF(AO46&lt;&gt;"",VLOOKUP(AO46,B4:J52,9,FALSE),"")</f>
        <v/>
      </c>
      <c r="AZ46" s="194" t="str">
        <f t="shared" si="84"/>
        <v/>
      </c>
      <c r="BA46" s="194" t="str">
        <f>IF(AO46&lt;&gt;"",RANK(AZ46,AZ43:AZ46),"")</f>
        <v/>
      </c>
      <c r="BB46" s="194" t="str">
        <f>IF(AO46&lt;&gt;"",SUMPRODUCT((AZ43:AZ47=AZ46)*(AU43:AU47&gt;AU46)),"")</f>
        <v/>
      </c>
      <c r="BC46" s="194" t="str">
        <f>IF(AO46&lt;&gt;"",SUMPRODUCT((AZ43:AZ47=AZ46)*(AU43:AU47=AU46)*(AS43:AS47&gt;AS46)),"")</f>
        <v/>
      </c>
      <c r="BD46" s="194" t="str">
        <f>IF(AO46&lt;&gt;"",SUMPRODUCT((AZ43:AZ47=AZ46)*(AU43:AU47=AU46)*(AS43:AS47=AS46)*(AW43:AW47&gt;AW46)),"")</f>
        <v/>
      </c>
      <c r="BE46" s="194" t="str">
        <f>IF(AO46&lt;&gt;"",SUMPRODUCT((AZ43:AZ47=AZ46)*(AU43:AU47=AU46)*(AS43:AS47=AS46)*(AW43:AW47=AW46)*(AX43:AX47&gt;AX46)),"")</f>
        <v/>
      </c>
      <c r="BF46" s="194" t="str">
        <f>IF(AO46&lt;&gt;"",SUMPRODUCT((AZ43:AZ47=AZ46)*(AU43:AU47=AU46)*(AS43:AS47=AS46)*(AW43:AW47=AW46)*(AX43:AX47=AX46)*(AY43:AY47&gt;AY46)),"")</f>
        <v/>
      </c>
      <c r="BG46" s="194" t="str">
        <f>IF(AO46&lt;&gt;"",IF(BG98&lt;&gt;"",IF(AN94=3,BG98,BG98+AN94),SUM(BA46:BF46)+1),"")</f>
        <v/>
      </c>
      <c r="BH46" s="194" t="str">
        <f>IF(AO46&lt;&gt;"",INDEX(AO44:AO47,MATCH(4,BG44:BG47,0),0),"")</f>
        <v/>
      </c>
      <c r="BI46" s="194" t="str">
        <f>IF(R44&lt;&gt;"",R44,"")</f>
        <v/>
      </c>
      <c r="BJ46" s="194">
        <f>SUMPRODUCT((CZ3:CZ54=BI46)*(DC3:DC54=BI47)*(DD3:DD54="W"))+SUMPRODUCT((CZ3:CZ54=BI46)*(DC3:DC54=BI60)*(DD3:DD54="W"))+SUMPRODUCT((CZ3:CZ54=BI46)*(DC3:DC54=BI45)*(DD3:DD54="W"))+SUMPRODUCT((CZ3:CZ54=BI47)*(DC3:DC54=BI46)*(DE3:DE54="W"))+SUMPRODUCT((CZ3:CZ54=BI60)*(DC3:DC54=BI46)*(DE3:DE54="W"))+SUMPRODUCT((CZ3:CZ54=BI45)*(DC3:DC54=BI46)*(DE3:DE54="W"))</f>
        <v>0</v>
      </c>
      <c r="BK46" s="194">
        <f>SUMPRODUCT((CZ3:CZ54=BI46)*(DC3:DC54=BI47)*(DD3:DD54="D"))+SUMPRODUCT((CZ3:CZ54=BI46)*(DC3:DC54=BI60)*(DD3:DD54="D"))+SUMPRODUCT((CZ3:CZ54=BI46)*(DC3:DC54=BI45)*(DD3:DD54="D"))+SUMPRODUCT((CZ3:CZ54=BI47)*(DC3:DC54=BI46)*(DD3:DD54="D"))+SUMPRODUCT((CZ3:CZ54=BI60)*(DC3:DC54=BI46)*(DD3:DD54="D"))+SUMPRODUCT((CZ3:CZ54=BI45)*(DC3:DC54=BI46)*(DD3:DD54="D"))</f>
        <v>0</v>
      </c>
      <c r="BL46" s="194">
        <f>SUMPRODUCT((CZ3:CZ54=BI46)*(DC3:DC54=BI47)*(DD3:DD54="L"))+SUMPRODUCT((CZ3:CZ54=BI46)*(DC3:DC54=BI60)*(DD3:DD54="L"))+SUMPRODUCT((CZ3:CZ54=BI46)*(DC3:DC54=BI45)*(DD3:DD54="L"))+SUMPRODUCT((CZ3:CZ54=BI47)*(DC3:DC54=BI46)*(DE3:DE54="L"))+SUMPRODUCT((CZ3:CZ54=BI60)*(DC3:DC54=BI46)*(DE3:DE54="L"))+SUMPRODUCT((CZ3:CZ54=BI45)*(DC3:DC54=BI46)*(DE3:DE54="L"))</f>
        <v>0</v>
      </c>
      <c r="BM46" s="194">
        <f>SUMPRODUCT((CZ3:CZ54=BI46)*(DC3:DC54=BI47)*DA3:DA54)+SUMPRODUCT((CZ3:CZ54=BI46)*(DC3:DC54=BI43)*DA3:DA54)+SUMPRODUCT((CZ3:CZ54=BI46)*(DC3:DC54=BI44)*DA3:DA54)+SUMPRODUCT((CZ3:CZ54=BI46)*(DC3:DC54=BI45)*DA3:DA54)+SUMPRODUCT((CZ3:CZ54=BI47)*(DC3:DC54=BI46)*DB3:DB54)+SUMPRODUCT((CZ3:CZ54=BI43)*(DC3:DC54=BI46)*DB3:DB54)+SUMPRODUCT((CZ3:CZ54=BI44)*(DC3:DC54=BI46)*DB3:DB54)+SUMPRODUCT((CZ3:CZ54=BI45)*(DC3:DC54=BI46)*DB3:DB54)</f>
        <v>0</v>
      </c>
      <c r="BN46" s="194">
        <f>SUMPRODUCT((CZ3:CZ54=BI46)*(DC3:DC54=BI47)*DB3:DB54)+SUMPRODUCT((CZ3:CZ54=BI46)*(DC3:DC54=BI43)*DB3:DB54)+SUMPRODUCT((CZ3:CZ54=BI46)*(DC3:DC54=BI44)*DB3:DB54)+SUMPRODUCT((CZ3:CZ54=BI46)*(DC3:DC54=BI45)*DB3:DB54)+SUMPRODUCT((CZ3:CZ54=BI47)*(DC3:DC54=BI46)*DA3:DA54)+SUMPRODUCT((CZ3:CZ54=BI43)*(DC3:DC54=BI46)*DA3:DA54)+SUMPRODUCT((CZ3:CZ54=BI44)*(DC3:DC54=BI46)*DA3:DA54)+SUMPRODUCT((CZ3:CZ54=BI45)*(DC3:DC54=BI46)*DA3:DA54)</f>
        <v>0</v>
      </c>
      <c r="BO46" s="194">
        <f>BM46-BN46+1000</f>
        <v>1000</v>
      </c>
      <c r="BP46" s="194" t="str">
        <f t="shared" si="85"/>
        <v/>
      </c>
      <c r="BQ46" s="194" t="str">
        <f>IF(BI46&lt;&gt;"",VLOOKUP(BI46,B4:H52,7,FALSE),"")</f>
        <v/>
      </c>
      <c r="BR46" s="194" t="str">
        <f>IF(BI46&lt;&gt;"",VLOOKUP(BI46,B4:H52,5,FALSE),"")</f>
        <v/>
      </c>
      <c r="BS46" s="194" t="str">
        <f>IF(BI46&lt;&gt;"",VLOOKUP(BI46,B4:J52,9,FALSE),"")</f>
        <v/>
      </c>
      <c r="BT46" s="194" t="str">
        <f t="shared" si="86"/>
        <v/>
      </c>
      <c r="BU46" s="194" t="str">
        <f>IF(BI46&lt;&gt;"",RANK(BT46,BT44:BT46),"")</f>
        <v/>
      </c>
      <c r="BV46" s="194" t="str">
        <f>IF(BI46&lt;&gt;"",SUMPRODUCT((BT43:BT47=BT46)*(BO43:BO47&gt;BO46)),"")</f>
        <v/>
      </c>
      <c r="BW46" s="194" t="str">
        <f>IF(BI46&lt;&gt;"",SUMPRODUCT((BT43:BT47=BT46)*(BO43:BO47=BO46)*(BM43:BM47&gt;BM46)),"")</f>
        <v/>
      </c>
      <c r="BX46" s="194" t="str">
        <f>IF(BI46&lt;&gt;"",SUMPRODUCT((BT43:BT47=BT46)*(BO43:BO47=BO46)*(BM43:BM47=BM46)*(BQ43:BQ47&gt;BQ46)),"")</f>
        <v/>
      </c>
      <c r="BY46" s="194" t="str">
        <f>IF(BI46&lt;&gt;"",SUMPRODUCT((BT43:BT47=BT46)*(BO43:BO47=BO46)*(BM43:BM47=BM46)*(BQ43:BQ47=BQ46)*(BR43:BR47&gt;BR46)),"")</f>
        <v/>
      </c>
      <c r="BZ46" s="194" t="str">
        <f>IF(BI46&lt;&gt;"",SUMPRODUCT((BT43:BT47=BT46)*(BO43:BO47=BO46)*(BM43:BM47=BM46)*(BQ43:BQ47=BQ46)*(BR43:BR47=BR46)*(BS43:BS47&gt;BS46)),"")</f>
        <v/>
      </c>
      <c r="CA46" s="194" t="str">
        <f>IF(BI46&lt;&gt;"",SUM(BU46:BZ46)+2,"")</f>
        <v/>
      </c>
      <c r="CB46" s="194" t="str">
        <f>IF(BI46&lt;&gt;"",INDEX(BI45:BI47,MATCH(4,CA45:CA47,0),0),"")</f>
        <v/>
      </c>
      <c r="CC46" s="194" t="str">
        <f>IF(S43&lt;&gt;"",S43,"")</f>
        <v/>
      </c>
      <c r="CD46" s="194">
        <f>SUMPRODUCT((CZ3:CZ54=CC46)*(DC3:DC54=CC47)*(DD3:DD54="W"))+SUMPRODUCT((CZ3:CZ54=CC46)*(DC3:DC54=CC60)*(DD3:DD54="W"))+SUMPRODUCT((CZ3:CZ54=CC46)*(DC3:DC54=CC61)*(DD3:DD54="W"))+SUMPRODUCT((CZ3:CZ54=CC47)*(DC3:DC54=CC46)*(DE3:DE54="W"))+SUMPRODUCT((CZ3:CZ54=CC60)*(DC3:DC54=CC46)*(DE3:DE54="W"))+SUMPRODUCT((CZ3:CZ54=CC61)*(DC3:DC54=CC46)*(DE3:DE54="W"))</f>
        <v>0</v>
      </c>
      <c r="CE46" s="194">
        <f>SUMPRODUCT((CZ3:CZ54=CC46)*(DC3:DC54=CC47)*(DD3:DD54="D"))+SUMPRODUCT((CZ3:CZ54=CC46)*(DC3:DC54=CC60)*(DD3:DD54="D"))+SUMPRODUCT((CZ3:CZ54=CC46)*(DC3:DC54=CC61)*(DD3:DD54="D"))+SUMPRODUCT((CZ3:CZ54=CC47)*(DC3:DC54=CC46)*(DD3:DD54="D"))+SUMPRODUCT((CZ3:CZ54=CC60)*(DC3:DC54=CC46)*(DD3:DD54="D"))+SUMPRODUCT((CZ3:CZ54=CC61)*(DC3:DC54=CC46)*(DD3:DD54="D"))</f>
        <v>0</v>
      </c>
      <c r="CF46" s="194">
        <f>SUMPRODUCT((CZ3:CZ54=CC46)*(DC3:DC54=CC47)*(DD3:DD54="L"))+SUMPRODUCT((CZ3:CZ54=CC46)*(DC3:DC54=CC60)*(DD3:DD54="L"))+SUMPRODUCT((CZ3:CZ54=CC46)*(DC3:DC54=CC61)*(DD3:DD54="L"))+SUMPRODUCT((CZ3:CZ54=CC47)*(DC3:DC54=CC46)*(DE3:DE54="L"))+SUMPRODUCT((CZ3:CZ54=CC60)*(DC3:DC54=CC46)*(DE3:DE54="L"))+SUMPRODUCT((CZ3:CZ54=CC61)*(DC3:DC54=CC46)*(DE3:DE54="L"))</f>
        <v>0</v>
      </c>
      <c r="CG46" s="194">
        <f>SUMPRODUCT((CZ3:CZ54=CC46)*(DC3:DC54=CC47)*DA3:DA54)+SUMPRODUCT((CZ3:CZ54=CC46)*(DC3:DC54=CC43)*DA3:DA54)+SUMPRODUCT((CZ3:CZ54=CC46)*(DC3:DC54=CC44)*DA3:DA54)+SUMPRODUCT((CZ3:CZ54=CC46)*(DC3:DC54=CC45)*DA3:DA54)+SUMPRODUCT((CZ3:CZ54=CC47)*(DC3:DC54=CC46)*DB3:DB54)+SUMPRODUCT((CZ3:CZ54=CC43)*(DC3:DC54=CC46)*DB3:DB54)+SUMPRODUCT((CZ3:CZ54=CC44)*(DC3:DC54=CC46)*DB3:DB54)+SUMPRODUCT((CZ3:CZ54=CC45)*(DC3:DC54=CC46)*DB3:DB54)</f>
        <v>0</v>
      </c>
      <c r="CH46" s="194">
        <f>SUMPRODUCT((CZ3:CZ54=CC46)*(DC3:DC54=CC47)*DB3:DB54)+SUMPRODUCT((CZ3:CZ54=CC46)*(DC3:DC54=CC43)*DB3:DB54)+SUMPRODUCT((CZ3:CZ54=CC46)*(DC3:DC54=CC44)*DB3:DB54)+SUMPRODUCT((CZ3:CZ54=CC46)*(DC3:DC54=CC45)*DB3:DB54)+SUMPRODUCT((CZ3:CZ54=CC47)*(DC3:DC54=CC46)*DA3:DA54)+SUMPRODUCT((CZ3:CZ54=CC43)*(DC3:DC54=CC46)*DA3:DA54)+SUMPRODUCT((CZ3:CZ54=CC44)*(DC3:DC54=CC46)*DA3:DA54)+SUMPRODUCT((CZ3:CZ54=CC45)*(DC3:DC54=CC46)*DA3:DA54)</f>
        <v>0</v>
      </c>
      <c r="CI46" s="194">
        <f>CG46-CH46+1000</f>
        <v>1000</v>
      </c>
      <c r="CJ46" s="194" t="str">
        <f t="shared" ref="CJ46" si="87">IF(CC46&lt;&gt;"",CD46*3+CE46*1,"")</f>
        <v/>
      </c>
      <c r="CK46" s="194" t="str">
        <f>IF(CC46&lt;&gt;"",VLOOKUP(CC46,B4:H52,7,FALSE),"")</f>
        <v/>
      </c>
      <c r="CL46" s="194" t="str">
        <f>IF(CC46&lt;&gt;"",VLOOKUP(CC46,B4:H52,5,FALSE),"")</f>
        <v/>
      </c>
      <c r="CM46" s="194" t="str">
        <f>IF(CC46&lt;&gt;"",VLOOKUP(CC46,B4:J52,9,FALSE),"")</f>
        <v/>
      </c>
      <c r="CN46" s="194" t="str">
        <f t="shared" ref="CN46" si="88">CJ46</f>
        <v/>
      </c>
      <c r="CO46" s="194" t="str">
        <f>IF(CC46&lt;&gt;"",RANK(CN46,AF43:AF47),"")</f>
        <v/>
      </c>
      <c r="CP46" s="194" t="str">
        <f>IF(CC46&lt;&gt;"",SUMPRODUCT((CN43:CN47=CN46)*(CI43:CI47&gt;CI46)),"")</f>
        <v/>
      </c>
      <c r="CQ46" s="194" t="str">
        <f>IF(CC46&lt;&gt;"",SUMPRODUCT((CN43:CN47=CN46)*(CI43:CI47=CI46)*(CG43:CG47&gt;CG46)),"")</f>
        <v/>
      </c>
      <c r="CR46" s="194" t="str">
        <f>IF(CC46&lt;&gt;"",SUMPRODUCT((CN43:CN47=CN46)*(CI43:CI47=CI46)*(CG43:CG47=CG46)*(CK43:CK47&gt;CK46)),"")</f>
        <v/>
      </c>
      <c r="CS46" s="194" t="str">
        <f>IF(CC46&lt;&gt;"",SUMPRODUCT((CN43:CN47=CN46)*(CI43:CI47=CI46)*(CG43:CG47=CG46)*(CK43:CK47=CK46)*(CL43:CL47&gt;CL46)),"")</f>
        <v/>
      </c>
      <c r="CT46" s="194" t="str">
        <f>IF(CC46&lt;&gt;"",SUMPRODUCT((CN43:CN47=CN46)*(CI43:CI47=CI46)*(CG43:CG47=CG46)*(CK43:CK47=CK46)*(CL43:CL47=CL46)*(CM43:CM47&gt;CM46)),"")</f>
        <v/>
      </c>
      <c r="CU46" s="194" t="str">
        <f>IF(CC46&lt;&gt;"",SUM(CO46:CT46)+3,"")</f>
        <v/>
      </c>
      <c r="CV46" s="194" t="str">
        <f>IF(CC46&lt;&gt;"",IF(CU46=4,CC46,CC47),"")</f>
        <v/>
      </c>
      <c r="CW46" s="194" t="str">
        <f>IF(License!G12="© 2025 | journalSHEET.com",IF(CV46&lt;&gt;"",CV46,IF(CB46&lt;&gt;"",CB46,IF(BH46&lt;&gt;"",BH46,IF(AN46&lt;&gt;"",AN46,N46)))),"Juventus")</f>
        <v>Al Ain</v>
      </c>
      <c r="CX46" s="194">
        <v>4</v>
      </c>
      <c r="CZ46" s="194" t="str">
        <f>Matches!H47</f>
        <v>Urawa Red Diamonds</v>
      </c>
      <c r="DA46" s="194">
        <f>IF(CZ2&lt;&gt;"",IF(AND(Matches!J47&lt;&gt;"",Matches!K47&lt;&gt;""),Matches!J47,0),"")</f>
        <v>0</v>
      </c>
      <c r="DB46" s="194">
        <f>IF(CZ2&lt;&gt;"",IF(AND(Matches!J47&lt;&gt;"",Matches!K47&lt;&gt;""),Matches!K47,0),"")</f>
        <v>0</v>
      </c>
      <c r="DC46" s="194" t="str">
        <f>Matches!M47</f>
        <v>Monterrey</v>
      </c>
      <c r="DD46" s="194" t="str">
        <f>IF(AND(Matches!J47&lt;&gt;"",Matches!K47&lt;&gt;""),IF(DA46&gt;DB46,"W",IF(DA46=DB46,"D","L")),"")</f>
        <v/>
      </c>
      <c r="DE46" s="194" t="str">
        <f t="shared" si="0"/>
        <v/>
      </c>
      <c r="DR46" s="196" t="str">
        <f>Matches!D67</f>
        <v>Group G Winner</v>
      </c>
      <c r="DT46" s="196" t="str">
        <f>IF(ISERROR("Calculator!"&amp;VLOOKUP(DR46,Calculator!DR7:DS38,2,FALSE)),"Calculator!dq77","Calculator!"&amp;VLOOKUP(DR46,Calculator!DR7:DS38,2,FALSE))</f>
        <v>Calculator!dq77</v>
      </c>
      <c r="DV46" s="202" t="s">
        <v>113</v>
      </c>
      <c r="DW46" s="20"/>
      <c r="DX46" s="9">
        <v>40</v>
      </c>
      <c r="DY46" s="203">
        <f t="shared" si="13"/>
        <v>45832.875</v>
      </c>
      <c r="DZ46" s="206">
        <v>45832.875</v>
      </c>
      <c r="EA46" s="205">
        <f t="shared" si="74"/>
        <v>45832.875</v>
      </c>
      <c r="EB46" s="206">
        <v>45832.875</v>
      </c>
    </row>
    <row r="47" spans="1:134" x14ac:dyDescent="0.25">
      <c r="CZ47" s="194" t="str">
        <f>Matches!H48</f>
        <v>Juventus</v>
      </c>
      <c r="DA47" s="194">
        <f>IF(CZ2&lt;&gt;"",IF(AND(Matches!J48&lt;&gt;"",Matches!K48&lt;&gt;""),Matches!J48,0),"")</f>
        <v>0</v>
      </c>
      <c r="DB47" s="194">
        <f>IF(CZ2&lt;&gt;"",IF(AND(Matches!J48&lt;&gt;"",Matches!K48&lt;&gt;""),Matches!K48,0),"")</f>
        <v>0</v>
      </c>
      <c r="DC47" s="194" t="str">
        <f>Matches!M48</f>
        <v>Manchester City</v>
      </c>
      <c r="DD47" s="194" t="str">
        <f>IF(AND(Matches!J48&lt;&gt;"",Matches!K48&lt;&gt;""),IF(DA47&gt;DB47,"W",IF(DA47=DB47,"D","L")),"")</f>
        <v/>
      </c>
      <c r="DE47" s="194" t="str">
        <f t="shared" si="0"/>
        <v/>
      </c>
      <c r="DR47" s="196" t="str">
        <f>Matches!D68</f>
        <v>Group H Runner Up</v>
      </c>
      <c r="DT47" s="196" t="str">
        <f>IF(ISERROR("Calculator!"&amp;VLOOKUP(DR47,Calculator!DR7:DS38,2,FALSE)),"Calculator!dq77","Calculator!"&amp;VLOOKUP(DR47,Calculator!DR7:DS38,2,FALSE))</f>
        <v>Calculator!dq77</v>
      </c>
      <c r="DV47" s="202" t="s">
        <v>114</v>
      </c>
      <c r="DW47" s="20"/>
      <c r="DX47" s="9">
        <v>41</v>
      </c>
      <c r="DY47" s="203">
        <f t="shared" si="13"/>
        <v>45833.625</v>
      </c>
      <c r="DZ47" s="206">
        <v>45833.625</v>
      </c>
      <c r="EA47" s="205">
        <f t="shared" si="74"/>
        <v>45833.625</v>
      </c>
      <c r="EB47" s="206">
        <v>45833.625</v>
      </c>
    </row>
    <row r="48" spans="1:134" x14ac:dyDescent="0.25">
      <c r="CZ48" s="194" t="str">
        <f>Matches!H49</f>
        <v>Wydad AC</v>
      </c>
      <c r="DA48" s="194">
        <f>IF(CZ2&lt;&gt;"",IF(AND(Matches!J49&lt;&gt;"",Matches!K49&lt;&gt;""),Matches!J49,0),"")</f>
        <v>0</v>
      </c>
      <c r="DB48" s="194">
        <f>IF(CZ2&lt;&gt;"",IF(AND(Matches!J49&lt;&gt;"",Matches!K49&lt;&gt;""),Matches!K49,0),"")</f>
        <v>0</v>
      </c>
      <c r="DC48" s="194" t="str">
        <f>Matches!M49</f>
        <v>Al Ain</v>
      </c>
      <c r="DD48" s="194" t="str">
        <f>IF(AND(Matches!J49&lt;&gt;"",Matches!K49&lt;&gt;""),IF(DA48&gt;DB48,"W",IF(DA48=DB48,"D","L")),"")</f>
        <v/>
      </c>
      <c r="DE48" s="194" t="str">
        <f t="shared" si="0"/>
        <v/>
      </c>
      <c r="DR48" s="196" t="str">
        <f>Matches!D71</f>
        <v>Group D Winner</v>
      </c>
      <c r="DT48" s="196" t="str">
        <f>IF(ISERROR("Calculator!"&amp;VLOOKUP(DR48,Calculator!DR7:DS38,2,FALSE)),"Calculator!dq77","Calculator!"&amp;VLOOKUP(DR48,Calculator!DR7:DS38,2,FALSE))</f>
        <v>Calculator!dq77</v>
      </c>
      <c r="DV48" s="202" t="s">
        <v>115</v>
      </c>
      <c r="DW48" s="20"/>
      <c r="DX48" s="9">
        <v>42</v>
      </c>
      <c r="DY48" s="203">
        <f t="shared" si="13"/>
        <v>45833.625</v>
      </c>
      <c r="DZ48" s="206">
        <v>45833.625</v>
      </c>
      <c r="EA48" s="205">
        <f t="shared" si="74"/>
        <v>45833.625</v>
      </c>
      <c r="EB48" s="206">
        <v>45833.625</v>
      </c>
    </row>
    <row r="49" spans="1:133" x14ac:dyDescent="0.25">
      <c r="A49" s="194">
        <f>VLOOKUP(B49,CW49:CX52,2,FALSE)</f>
        <v>1</v>
      </c>
      <c r="B49" s="195" t="str">
        <f>ED35</f>
        <v>Real Madrid</v>
      </c>
      <c r="C49" s="194">
        <f>SUMPRODUCT((CZ3:CZ54=B49)*(DD3:DD54="W"))+SUMPRODUCT((DC3:DC54=B49)*(DE3:DE54="W"))</f>
        <v>0</v>
      </c>
      <c r="D49" s="194">
        <f>SUMPRODUCT((CZ3:CZ54=B49)*(DD3:DD54="D"))+SUMPRODUCT((DC3:DC54=B49)*(DE3:DE54="D"))</f>
        <v>0</v>
      </c>
      <c r="E49" s="194">
        <f>SUMPRODUCT((CZ3:CZ54=B49)*(DD3:DD54="L"))+SUMPRODUCT((DC3:DC54=B49)*(DE3:DE54="L"))</f>
        <v>0</v>
      </c>
      <c r="F49" s="194">
        <f>SUMIF(CZ3:CZ72,B49,DA3:DA72)+SUMIF(DC3:DC72,B49,DB3:DB72)</f>
        <v>0</v>
      </c>
      <c r="G49" s="194">
        <f>SUMIF(DC3:DC72,B49,DA3:DA72)+SUMIF(CZ3:CZ72,B49,DB3:DB72)</f>
        <v>0</v>
      </c>
      <c r="H49" s="194">
        <f t="shared" ref="H49:H52" si="89">F49-G49+1000</f>
        <v>1000</v>
      </c>
      <c r="I49" s="194">
        <f t="shared" ref="I49:I51" si="90">C49*3+D49*1</f>
        <v>0</v>
      </c>
      <c r="J49" s="194">
        <f>IF(Setup!G36&lt;&gt;"",Setup!G36,32)</f>
        <v>32</v>
      </c>
      <c r="K49" s="194">
        <f>IF(COUNTIF(I49:I52,4)&lt;&gt;4,RANK(I49,I49:I52),I101)</f>
        <v>1</v>
      </c>
      <c r="M49" s="194">
        <f>SUMPRODUCT((K49:K52=K49)*(J49:J52&lt;J49))+K49</f>
        <v>4</v>
      </c>
      <c r="N49" s="195" t="str">
        <f>INDEX(B49:B53,MATCH(1,M49:M53,0),0)</f>
        <v>Pachuca</v>
      </c>
      <c r="O49" s="194">
        <f>INDEX(K49:K53,MATCH(N49,B49:B53,0),0)</f>
        <v>1</v>
      </c>
      <c r="P49" s="194" t="str">
        <f>IF(O50=1,N49,"")</f>
        <v>Pachuca</v>
      </c>
      <c r="Q49" s="194" t="str">
        <f>IF(O51=2,N50,"")</f>
        <v/>
      </c>
      <c r="R49" s="194" t="str">
        <f>IF(O52=3,N51,"")</f>
        <v/>
      </c>
      <c r="S49" s="194" t="str">
        <f>IF(O53=4,N52,"")</f>
        <v/>
      </c>
      <c r="U49" s="194" t="str">
        <f>IF(P49&lt;&gt;"",P49,"")</f>
        <v>Pachuca</v>
      </c>
      <c r="V49" s="194">
        <f>SUMPRODUCT((CZ3:CZ54=U49)*(DC3:DC54=U50)*(DD3:DD54="W"))+SUMPRODUCT((CZ3:CZ54=U49)*(DC3:DC54=U51)*(DD3:DD54="W"))+SUMPRODUCT((CZ3:CZ54=U49)*(DC3:DC54=U52)*(DD3:DD54="W"))+SUMPRODUCT((CZ3:CZ54=U49)*(DC3:DC54=U53)*(DD3:DD54="W"))+SUMPRODUCT((CZ3:CZ54=U50)*(DC3:DC54=U49)*(DE3:DE54="W"))+SUMPRODUCT((CZ3:CZ54=U51)*(DC3:DC54=U49)*(DE3:DE54="W"))+SUMPRODUCT((CZ3:CZ54=U52)*(DC3:DC54=U49)*(DE3:DE54="W"))+SUMPRODUCT((CZ3:CZ54=U53)*(DC3:DC54=U49)*(DE3:DE54="W"))</f>
        <v>0</v>
      </c>
      <c r="W49" s="194">
        <f>SUMPRODUCT((CZ3:CZ54=U49)*(DC3:DC54=U50)*(DD3:DD54="D"))+SUMPRODUCT((CZ3:CZ54=U49)*(DC3:DC54=U51)*(DD3:DD54="D"))+SUMPRODUCT((CZ3:CZ54=U49)*(DC3:DC54=U52)*(DD3:DD54="D"))+SUMPRODUCT((CZ3:CZ54=U49)*(DC3:DC54=U53)*(DD3:DD54="D"))+SUMPRODUCT((CZ3:CZ54=U50)*(DC3:DC54=U49)*(DD3:DD54="D"))+SUMPRODUCT((CZ3:CZ54=U51)*(DC3:DC54=U49)*(DD3:DD54="D"))+SUMPRODUCT((CZ3:CZ54=U52)*(DC3:DC54=U49)*(DD3:DD54="D"))+SUMPRODUCT((CZ3:CZ54=U53)*(DC3:DC54=U49)*(DD3:DD54="D"))</f>
        <v>0</v>
      </c>
      <c r="X49" s="194">
        <f>SUMPRODUCT((CZ3:CZ54=U49)*(DC3:DC54=U50)*(DD3:DD54="L"))+SUMPRODUCT((CZ3:CZ54=U49)*(DC3:DC54=U51)*(DD3:DD54="L"))+SUMPRODUCT((CZ3:CZ54=U49)*(DC3:DC54=U52)*(DD3:DD54="L"))+SUMPRODUCT((CZ3:CZ54=U49)*(DC3:DC54=U53)*(DD3:DD54="L"))+SUMPRODUCT((CZ3:CZ54=U50)*(DC3:DC54=U49)*(DE3:DE54="L"))+SUMPRODUCT((CZ3:CZ54=U51)*(DC3:DC54=U49)*(DE3:DE54="L"))+SUMPRODUCT((CZ3:CZ54=U52)*(DC3:DC54=U49)*(DE3:DE54="L"))+SUMPRODUCT((CZ3:CZ54=U53)*(DC3:DC54=U49)*(DE3:DE54="L"))</f>
        <v>0</v>
      </c>
      <c r="Y49" s="194">
        <f>SUMPRODUCT((CZ3:CZ54=U49)*(DC3:DC54=U50)*DA3:DA54)+SUMPRODUCT((CZ3:CZ54=U49)*(DC3:DC54=U51)*DA3:DA54)+SUMPRODUCT((CZ3:CZ54=U49)*(DC3:DC54=U52)*DA3:DA54)+SUMPRODUCT((CZ3:CZ54=U49)*(DC3:DC54=U53)*DA3:DA54)+SUMPRODUCT((CZ3:CZ54=U50)*(DC3:DC54=U49)*DB3:DB54)+SUMPRODUCT((CZ3:CZ54=U51)*(DC3:DC54=U49)*DB3:DB54)+SUMPRODUCT((CZ3:CZ54=U52)*(DC3:DC54=U49)*DB3:DB54)+SUMPRODUCT((CZ3:CZ54=U53)*(DC3:DC54=U49)*DB3:DB54)</f>
        <v>0</v>
      </c>
      <c r="Z49" s="194">
        <f>SUMPRODUCT((CZ3:CZ54=U49)*(DC3:DC54=U50)*DB3:DB54)+SUMPRODUCT((CZ3:CZ54=U49)*(DC3:DC54=U51)*DB3:DB54)+SUMPRODUCT((CZ3:CZ54=U49)*(DC3:DC54=U52)*DB3:DB54)+SUMPRODUCT((CZ3:CZ54=U49)*(DC3:DC54=U53)*DB3:DB54)+SUMPRODUCT((CZ3:CZ54=U50)*(DC3:DC54=U49)*DA3:DA54)+SUMPRODUCT((CZ3:CZ54=U51)*(DC3:DC54=U49)*DA3:DA54)+SUMPRODUCT((CZ3:CZ54=U52)*(DC3:DC54=U49)*DA3:DA54)+SUMPRODUCT((CZ3:CZ54=U53)*(DC3:DC54=U49)*DA3:DA54)</f>
        <v>0</v>
      </c>
      <c r="AA49" s="194">
        <f>Y49-Z49+1000</f>
        <v>1000</v>
      </c>
      <c r="AB49" s="194">
        <f t="shared" ref="AB49:AB52" si="91">IF(U49&lt;&gt;"",V49*3+W49*1,"")</f>
        <v>0</v>
      </c>
      <c r="AC49" s="194">
        <f>IF(U49&lt;&gt;"",VLOOKUP(U49,B4:H52,7,FALSE),"")</f>
        <v>1000</v>
      </c>
      <c r="AD49" s="194">
        <f>IF(U49&lt;&gt;"",VLOOKUP(U49,B4:H52,5,FALSE),"")</f>
        <v>0</v>
      </c>
      <c r="AE49" s="194">
        <f>IF(U49&lt;&gt;"",VLOOKUP(U49,B4:J52,9,FALSE),"")</f>
        <v>1</v>
      </c>
      <c r="AF49" s="194">
        <f t="shared" ref="AF49:AF52" si="92">AB49</f>
        <v>0</v>
      </c>
      <c r="AG49" s="194">
        <f>IF(U49&lt;&gt;"",RANK(AF49,AF49:AF53),"")</f>
        <v>1</v>
      </c>
      <c r="AH49" s="194">
        <f>IF(U49&lt;&gt;"",SUMPRODUCT((AF49:AF53=AF49)*(AA49:AA53&gt;AA49)),"")</f>
        <v>0</v>
      </c>
      <c r="AI49" s="194">
        <f>IF(U49&lt;&gt;"",SUMPRODUCT((AF49:AF53=AF49)*(AA49:AA53=AA49)*(Y49:Y53&gt;Y49)),"")</f>
        <v>0</v>
      </c>
      <c r="AJ49" s="194">
        <f>IF(U49&lt;&gt;"",SUMPRODUCT((AF49:AF53=AF49)*(AA49:AA53=AA49)*(Y49:Y53=Y49)*(AC49:AC53&gt;AC49)),"")</f>
        <v>0</v>
      </c>
      <c r="AK49" s="194">
        <f>IF(U49&lt;&gt;"",SUMPRODUCT((AF49:AF53=AF49)*(AA49:AA53=AA49)*(Y49:Y53=Y49)*(AC49:AC53=AC49)*(AD49:AD53&gt;AD49)),"")</f>
        <v>0</v>
      </c>
      <c r="AL49" s="194">
        <f>IF(U49&lt;&gt;"",SUMPRODUCT((AF49:AF53=AF49)*(AA49:AA53=AA49)*(Y49:Y53=Y49)*(AC49:AC53=AC49)*(AD49:AD53=AD49)*(AE49:AE53&gt;AE49)),"")</f>
        <v>3</v>
      </c>
      <c r="AM49" s="194">
        <f>IF(U49&lt;&gt;"",IF(AM101&lt;&gt;"",IF(T100=3,AM101,AM101+T100),SUM(AG49:AL49)),"")</f>
        <v>4</v>
      </c>
      <c r="AN49" s="194" t="str">
        <f>IF(U49&lt;&gt;"",INDEX(U49:U53,MATCH(1,AM49:AM53,0),0),"")</f>
        <v>Real Madrid</v>
      </c>
      <c r="CW49" s="194" t="str">
        <f>IF(AN49&lt;&gt;"",AN49,N49)</f>
        <v>Real Madrid</v>
      </c>
      <c r="CX49" s="194">
        <v>1</v>
      </c>
      <c r="CZ49" s="194" t="str">
        <f>Matches!H50</f>
        <v>Al Hilal</v>
      </c>
      <c r="DA49" s="194">
        <f>IF(CZ2&lt;&gt;"",IF(AND(Matches!J50&lt;&gt;"",Matches!K50&lt;&gt;""),Matches!J50,0),"")</f>
        <v>0</v>
      </c>
      <c r="DB49" s="194">
        <f>IF(CZ2&lt;&gt;"",IF(AND(Matches!J50&lt;&gt;"",Matches!K50&lt;&gt;""),Matches!K50,0),"")</f>
        <v>0</v>
      </c>
      <c r="DC49" s="194" t="str">
        <f>Matches!M50</f>
        <v>Pachuca</v>
      </c>
      <c r="DD49" s="194" t="str">
        <f>IF(AND(Matches!J50&lt;&gt;"",Matches!K50&lt;&gt;""),IF(DA49&gt;DB49,"W",IF(DA49=DB49,"D","L")),"")</f>
        <v/>
      </c>
      <c r="DE49" s="194" t="str">
        <f t="shared" si="0"/>
        <v/>
      </c>
      <c r="DR49" s="196" t="str">
        <f>Matches!D72</f>
        <v>Group C Runner Up</v>
      </c>
      <c r="DT49" s="196" t="str">
        <f>IF(ISERROR("Calculator!"&amp;VLOOKUP(DR49,Calculator!DR7:DS38,2,FALSE)),"Calculator!dq77","Calculator!"&amp;VLOOKUP(DR49,Calculator!DR7:DS38,2,FALSE))</f>
        <v>Calculator!dq77</v>
      </c>
      <c r="DV49" s="202" t="s">
        <v>116</v>
      </c>
      <c r="DW49" s="20"/>
      <c r="DX49" s="9">
        <v>43</v>
      </c>
      <c r="DY49" s="203">
        <f t="shared" si="13"/>
        <v>45833.875</v>
      </c>
      <c r="DZ49" s="206">
        <f>EB49+3/24</f>
        <v>45833.875</v>
      </c>
      <c r="EA49" s="205">
        <f t="shared" si="74"/>
        <v>45833.875</v>
      </c>
      <c r="EB49" s="206">
        <v>45833.75</v>
      </c>
      <c r="EC49" s="196">
        <f>SUM(Matches!S47:S50)</f>
        <v>10</v>
      </c>
    </row>
    <row r="50" spans="1:133" x14ac:dyDescent="0.25">
      <c r="A50" s="194">
        <f>VLOOKUP(B50,CW49:CX52,2,FALSE)</f>
        <v>3</v>
      </c>
      <c r="B50" s="195" t="str">
        <f t="shared" ref="B50:B52" si="93">ED36</f>
        <v>Al Hilal</v>
      </c>
      <c r="C50" s="194">
        <f>SUMPRODUCT((CZ3:CZ54=B50)*(DD3:DD54="W"))+SUMPRODUCT((DC3:DC54=B50)*(DE3:DE54="W"))</f>
        <v>0</v>
      </c>
      <c r="D50" s="194">
        <f>SUMPRODUCT((CZ3:CZ54=B50)*(DD3:DD54="D"))+SUMPRODUCT((DC3:DC54=B50)*(DE3:DE54="D"))</f>
        <v>0</v>
      </c>
      <c r="E50" s="194">
        <f>SUMPRODUCT((CZ3:CZ54=B50)*(DD3:DD54="L"))+SUMPRODUCT((DC3:DC54=B50)*(DE3:DE54="L"))</f>
        <v>0</v>
      </c>
      <c r="F50" s="194">
        <f>SUMIF(CZ3:CZ72,B50,DA3:DA72)+SUMIF(DC3:DC72,B50,DB3:DB72)</f>
        <v>0</v>
      </c>
      <c r="G50" s="194">
        <f>SUMIF(DC3:DC72,B50,DA3:DA72)+SUMIF(CZ3:CZ72,B50,DB3:DB72)</f>
        <v>0</v>
      </c>
      <c r="H50" s="194">
        <f t="shared" si="89"/>
        <v>1000</v>
      </c>
      <c r="I50" s="194">
        <f t="shared" si="90"/>
        <v>0</v>
      </c>
      <c r="J50" s="194">
        <f>IF(Setup!G37&lt;&gt;"",Setup!G37,9)</f>
        <v>9</v>
      </c>
      <c r="K50" s="194">
        <f>IF(COUNTIF(I49:I52,4)&lt;&gt;4,RANK(I50,I49:I52),I102)</f>
        <v>1</v>
      </c>
      <c r="M50" s="194">
        <f>SUMPRODUCT((K49:K52=K50)*(J49:J52&lt;J50))+K50</f>
        <v>2</v>
      </c>
      <c r="N50" s="195" t="str">
        <f>INDEX(B49:B53,MATCH(2,M49:M53,0),0)</f>
        <v>Al Hilal</v>
      </c>
      <c r="O50" s="194">
        <f>INDEX(K49:K53,MATCH(N50,B49:B53,0),0)</f>
        <v>1</v>
      </c>
      <c r="P50" s="194" t="str">
        <f>IF(P49&lt;&gt;"",N50,"")</f>
        <v>Al Hilal</v>
      </c>
      <c r="Q50" s="194" t="str">
        <f>IF(Q49&lt;&gt;"",N51,"")</f>
        <v/>
      </c>
      <c r="R50" s="194" t="str">
        <f>IF(R49&lt;&gt;"",N52,"")</f>
        <v/>
      </c>
      <c r="S50" s="194" t="str">
        <f>IF(S49&lt;&gt;"",N53,"")</f>
        <v/>
      </c>
      <c r="U50" s="194" t="str">
        <f t="shared" ref="U50:U52" si="94">IF(P50&lt;&gt;"",P50,"")</f>
        <v>Al Hilal</v>
      </c>
      <c r="V50" s="194">
        <f>SUMPRODUCT((CZ3:CZ54=U50)*(DC3:DC54=U51)*(DD3:DD54="W"))+SUMPRODUCT((CZ3:CZ54=U50)*(DC3:DC54=U52)*(DD3:DD54="W"))+SUMPRODUCT((CZ3:CZ54=U50)*(DC3:DC54=U53)*(DD3:DD54="W"))+SUMPRODUCT((CZ3:CZ54=U50)*(DC3:DC54=U49)*(DD3:DD54="W"))+SUMPRODUCT((CZ3:CZ54=U51)*(DC3:DC54=U50)*(DE3:DE54="W"))+SUMPRODUCT((CZ3:CZ54=U52)*(DC3:DC54=U50)*(DE3:DE54="W"))+SUMPRODUCT((CZ3:CZ54=U53)*(DC3:DC54=U50)*(DE3:DE54="W"))+SUMPRODUCT((CZ3:CZ54=U49)*(DC3:DC54=U50)*(DE3:DE54="W"))</f>
        <v>0</v>
      </c>
      <c r="W50" s="194">
        <f>SUMPRODUCT((CZ3:CZ54=U50)*(DC3:DC54=U51)*(DD3:DD54="D"))+SUMPRODUCT((CZ3:CZ54=U50)*(DC3:DC54=U52)*(DD3:DD54="D"))+SUMPRODUCT((CZ3:CZ54=U50)*(DC3:DC54=U53)*(DD3:DD54="D"))+SUMPRODUCT((CZ3:CZ54=U50)*(DC3:DC54=U49)*(DD3:DD54="D"))+SUMPRODUCT((CZ3:CZ54=U51)*(DC3:DC54=U50)*(DD3:DD54="D"))+SUMPRODUCT((CZ3:CZ54=U52)*(DC3:DC54=U50)*(DD3:DD54="D"))+SUMPRODUCT((CZ3:CZ54=U53)*(DC3:DC54=U50)*(DD3:DD54="D"))+SUMPRODUCT((CZ3:CZ54=U49)*(DC3:DC54=U50)*(DD3:DD54="D"))</f>
        <v>0</v>
      </c>
      <c r="X50" s="194">
        <f>SUMPRODUCT((CZ3:CZ54=U50)*(DC3:DC54=U51)*(DD3:DD54="L"))+SUMPRODUCT((CZ3:CZ54=U50)*(DC3:DC54=U52)*(DD3:DD54="L"))+SUMPRODUCT((CZ3:CZ54=U50)*(DC3:DC54=U53)*(DD3:DD54="L"))+SUMPRODUCT((CZ3:CZ54=U50)*(DC3:DC54=U49)*(DD3:DD54="L"))+SUMPRODUCT((CZ3:CZ54=U51)*(DC3:DC54=U50)*(DE3:DE54="L"))+SUMPRODUCT((CZ3:CZ54=U52)*(DC3:DC54=U50)*(DE3:DE54="L"))+SUMPRODUCT((CZ3:CZ54=U53)*(DC3:DC54=U50)*(DE3:DE54="L"))+SUMPRODUCT((CZ3:CZ54=U49)*(DC3:DC54=U50)*(DE3:DE54="L"))</f>
        <v>0</v>
      </c>
      <c r="Y50" s="194">
        <f>SUMPRODUCT((CZ3:CZ54=U50)*(DC3:DC54=U51)*DA3:DA54)+SUMPRODUCT((CZ3:CZ54=U50)*(DC3:DC54=U52)*DA3:DA54)+SUMPRODUCT((CZ3:CZ54=U50)*(DC3:DC54=U53)*DA3:DA54)+SUMPRODUCT((CZ3:CZ54=U50)*(DC3:DC54=U49)*DA3:DA54)+SUMPRODUCT((CZ3:CZ54=U51)*(DC3:DC54=U50)*DB3:DB54)+SUMPRODUCT((CZ3:CZ54=U52)*(DC3:DC54=U50)*DB3:DB54)+SUMPRODUCT((CZ3:CZ54=U53)*(DC3:DC54=U50)*DB3:DB54)+SUMPRODUCT((CZ3:CZ54=U49)*(DC3:DC54=U50)*DB3:DB54)</f>
        <v>0</v>
      </c>
      <c r="Z50" s="194">
        <f>SUMPRODUCT((CZ3:CZ54=U50)*(DC3:DC54=U51)*DB3:DB54)+SUMPRODUCT((CZ3:CZ54=U50)*(DC3:DC54=U52)*DB3:DB54)+SUMPRODUCT((CZ3:CZ54=U50)*(DC3:DC54=U53)*DB3:DB54)+SUMPRODUCT((CZ3:CZ54=U50)*(DC3:DC54=U49)*DB3:DB54)+SUMPRODUCT((CZ3:CZ54=U51)*(DC3:DC54=U50)*DA3:DA54)+SUMPRODUCT((CZ3:CZ54=U52)*(DC3:DC54=U50)*DA3:DA54)+SUMPRODUCT((CZ3:CZ54=U53)*(DC3:DC54=U50)*DA3:DA54)+SUMPRODUCT((CZ3:CZ54=U49)*(DC3:DC54=U50)*DA3:DA54)</f>
        <v>0</v>
      </c>
      <c r="AA50" s="194">
        <f>Y50-Z50+1000</f>
        <v>1000</v>
      </c>
      <c r="AB50" s="194">
        <f t="shared" si="91"/>
        <v>0</v>
      </c>
      <c r="AC50" s="194">
        <f>IF(U50&lt;&gt;"",VLOOKUP(U50,B4:H52,7,FALSE),"")</f>
        <v>1000</v>
      </c>
      <c r="AD50" s="194">
        <f>IF(U50&lt;&gt;"",VLOOKUP(U50,B4:H52,5,FALSE),"")</f>
        <v>0</v>
      </c>
      <c r="AE50" s="194">
        <f>IF(U50&lt;&gt;"",VLOOKUP(U50,B4:J52,9,FALSE),"")</f>
        <v>9</v>
      </c>
      <c r="AF50" s="194">
        <f t="shared" si="92"/>
        <v>0</v>
      </c>
      <c r="AG50" s="194">
        <f>IF(U50&lt;&gt;"",RANK(AF50,AF49:AF53),"")</f>
        <v>1</v>
      </c>
      <c r="AH50" s="194">
        <f>IF(U50&lt;&gt;"",SUMPRODUCT((AF49:AF53=AF50)*(AA49:AA53&gt;AA50)),"")</f>
        <v>0</v>
      </c>
      <c r="AI50" s="194">
        <f>IF(U50&lt;&gt;"",SUMPRODUCT((AF49:AF53=AF50)*(AA49:AA53=AA50)*(Y49:Y53&gt;Y50)),"")</f>
        <v>0</v>
      </c>
      <c r="AJ50" s="194">
        <f>IF(U50&lt;&gt;"",SUMPRODUCT((AF49:AF53=AF50)*(AA49:AA53=AA50)*(Y49:Y53=Y50)*(AC49:AC53&gt;AC50)),"")</f>
        <v>0</v>
      </c>
      <c r="AK50" s="194">
        <f>IF(U50&lt;&gt;"",SUMPRODUCT((AF49:AF53=AF50)*(AA49:AA53=AA50)*(Y49:Y53=Y50)*(AC49:AC53=AC50)*(AD49:AD53&gt;AD50)),"")</f>
        <v>0</v>
      </c>
      <c r="AL50" s="194">
        <f>IF(U50&lt;&gt;"",SUMPRODUCT((AF49:AF53=AF50)*(AA49:AA53=AA50)*(Y49:Y53=Y50)*(AC49:AC53=AC50)*(AD49:AD53=AD50)*(AE49:AE53&gt;AE50)),"")</f>
        <v>2</v>
      </c>
      <c r="AM50" s="194">
        <f>IF(U50&lt;&gt;"",IF(AM102&lt;&gt;"",IF(T100=3,AM102,AM102+T100),SUM(AG50:AL50)),"")</f>
        <v>3</v>
      </c>
      <c r="AN50" s="194" t="str">
        <f>IF(U50&lt;&gt;"",INDEX(U49:U53,MATCH(2,AM49:AM53,0),0),"")</f>
        <v>Salzburg</v>
      </c>
      <c r="AO50" s="194" t="str">
        <f>IF(Q49&lt;&gt;"",Q49,"")</f>
        <v/>
      </c>
      <c r="AP50" s="194">
        <f>SUMPRODUCT((CZ3:CZ54=AO50)*(DC3:DC54=AO51)*(DD3:DD54="W"))+SUMPRODUCT((CZ3:CZ54=AO50)*(DC3:DC54=AO52)*(DD3:DD54="W"))+SUMPRODUCT((CZ3:CZ54=AO50)*(DC3:DC54=AO53)*(DD3:DD54="W"))+SUMPRODUCT((CZ3:CZ54=AO51)*(DC3:DC54=AO50)*(DE3:DE54="W"))+SUMPRODUCT((CZ3:CZ54=AO52)*(DC3:DC54=AO50)*(DE3:DE54="W"))+SUMPRODUCT((CZ3:CZ54=AO53)*(DC3:DC54=AO50)*(DE3:DE54="W"))</f>
        <v>0</v>
      </c>
      <c r="AQ50" s="194">
        <f>SUMPRODUCT((CZ3:CZ54=AO50)*(DC3:DC54=AO51)*(DD3:DD54="D"))+SUMPRODUCT((CZ3:CZ54=AO50)*(DC3:DC54=AO52)*(DD3:DD54="D"))+SUMPRODUCT((CZ3:CZ54=AO50)*(DC3:DC54=AO53)*(DD3:DD54="D"))+SUMPRODUCT((CZ3:CZ54=AO51)*(DC3:DC54=AO50)*(DD3:DD54="D"))+SUMPRODUCT((CZ3:CZ54=AO52)*(DC3:DC54=AO50)*(DD3:DD54="D"))+SUMPRODUCT((CZ3:CZ54=AO53)*(DC3:DC54=AO50)*(DD3:DD54="D"))</f>
        <v>0</v>
      </c>
      <c r="AR50" s="194">
        <f>SUMPRODUCT((CZ3:CZ54=AO50)*(DC3:DC54=AO51)*(DD3:DD54="L"))+SUMPRODUCT((CZ3:CZ54=AO50)*(DC3:DC54=AO52)*(DD3:DD54="L"))+SUMPRODUCT((CZ3:CZ54=AO50)*(DC3:DC54=AO53)*(DD3:DD54="L"))+SUMPRODUCT((CZ3:CZ54=AO51)*(DC3:DC54=AO50)*(DE3:DE54="L"))+SUMPRODUCT((CZ3:CZ54=AO52)*(DC3:DC54=AO50)*(DE3:DE54="L"))+SUMPRODUCT((CZ3:CZ54=AO53)*(DC3:DC54=AO50)*(DE3:DE54="L"))</f>
        <v>0</v>
      </c>
      <c r="AS50" s="194">
        <f>SUMPRODUCT((CZ3:CZ54=AO50)*(DC3:DC54=AO51)*DA3:DA54)+SUMPRODUCT((CZ3:CZ54=AO50)*(DC3:DC54=AO52)*DA3:DA54)+SUMPRODUCT((CZ3:CZ54=AO50)*(DC3:DC54=AO53)*DA3:DA54)+SUMPRODUCT((CZ3:CZ54=AO50)*(DC3:DC54=AO49)*DA3:DA54)+SUMPRODUCT((CZ3:CZ54=AO51)*(DC3:DC54=AO50)*DB3:DB54)+SUMPRODUCT((CZ3:CZ54=AO52)*(DC3:DC54=AO50)*DB3:DB54)+SUMPRODUCT((CZ3:CZ54=AO53)*(DC3:DC54=AO50)*DB3:DB54)+SUMPRODUCT((CZ3:CZ54=AO49)*(DC3:DC54=AO50)*DB3:DB54)</f>
        <v>0</v>
      </c>
      <c r="AT50" s="194">
        <f>SUMPRODUCT((CZ3:CZ54=AO50)*(DC3:DC54=AO51)*DB3:DB54)+SUMPRODUCT((CZ3:CZ54=AO50)*(DC3:DC54=AO52)*DB3:DB54)+SUMPRODUCT((CZ3:CZ54=AO50)*(DC3:DC54=AO53)*DB3:DB54)+SUMPRODUCT((CZ3:CZ54=AO50)*(DC3:DC54=AO49)*DB3:DB54)+SUMPRODUCT((CZ3:CZ54=AO51)*(DC3:DC54=AO50)*DA3:DA54)+SUMPRODUCT((CZ3:CZ54=AO52)*(DC3:DC54=AO50)*DA3:DA54)+SUMPRODUCT((CZ3:CZ54=AO53)*(DC3:DC54=AO50)*DA3:DA54)+SUMPRODUCT((CZ3:CZ54=AO49)*(DC3:DC54=AO50)*DA3:DA54)</f>
        <v>0</v>
      </c>
      <c r="AU50" s="194">
        <f>AS50-AT50+1000</f>
        <v>1000</v>
      </c>
      <c r="AV50" s="194" t="str">
        <f t="shared" ref="AV50:AV52" si="95">IF(AO50&lt;&gt;"",AP50*3+AQ50*1,"")</f>
        <v/>
      </c>
      <c r="AW50" s="194" t="str">
        <f>IF(AO50&lt;&gt;"",VLOOKUP(AO50,B4:H52,7,FALSE),"")</f>
        <v/>
      </c>
      <c r="AX50" s="194" t="str">
        <f>IF(AO50&lt;&gt;"",VLOOKUP(AO50,B4:H52,5,FALSE),"")</f>
        <v/>
      </c>
      <c r="AY50" s="194" t="str">
        <f>IF(AO50&lt;&gt;"",VLOOKUP(AO50,B4:J52,9,FALSE),"")</f>
        <v/>
      </c>
      <c r="AZ50" s="194" t="str">
        <f t="shared" ref="AZ50:AZ52" si="96">AV50</f>
        <v/>
      </c>
      <c r="BA50" s="194" t="str">
        <f>IF(AO50&lt;&gt;"",RANK(AZ50,AZ49:AZ52),"")</f>
        <v/>
      </c>
      <c r="BB50" s="194" t="str">
        <f>IF(AO50&lt;&gt;"",SUMPRODUCT((AZ49:AZ53=AZ50)*(AU49:AU53&gt;AU50)),"")</f>
        <v/>
      </c>
      <c r="BC50" s="194" t="str">
        <f>IF(AO50&lt;&gt;"",SUMPRODUCT((AZ49:AZ53=AZ50)*(AU49:AU53=AU50)*(AS49:AS53&gt;AS50)),"")</f>
        <v/>
      </c>
      <c r="BD50" s="194" t="str">
        <f>IF(AO50&lt;&gt;"",SUMPRODUCT((AZ49:AZ53=AZ50)*(AU49:AU53=AU50)*(AS49:AS53=AS50)*(AW49:AW53&gt;AW50)),"")</f>
        <v/>
      </c>
      <c r="BE50" s="194" t="str">
        <f>IF(AO50&lt;&gt;"",SUMPRODUCT((AZ49:AZ53=AZ50)*(AU49:AU53=AU50)*(AS49:AS53=AS50)*(AW49:AW53=AW50)*(AX49:AX53&gt;AX50)),"")</f>
        <v/>
      </c>
      <c r="BF50" s="194" t="str">
        <f>IF(AO50&lt;&gt;"",SUMPRODUCT((AZ49:AZ53=AZ50)*(AU49:AU53=AU50)*(AS49:AS53=AS50)*(AW49:AW53=AW50)*(AX49:AX53=AX50)*(AY49:AY53&gt;AY50)),"")</f>
        <v/>
      </c>
      <c r="BG50" s="194" t="str">
        <f>IF(AO50&lt;&gt;"",IF(BG102&lt;&gt;"",IF(AN100=3,BG102,BG102+AN100),SUM(BA50:BF50)+1),"")</f>
        <v/>
      </c>
      <c r="BH50" s="194" t="str">
        <f>IF(AO50&lt;&gt;"",INDEX(AO50:AO53,MATCH(2,BG50:BG53,0),0),"")</f>
        <v/>
      </c>
      <c r="CW50" s="194" t="str">
        <f>IF(BH50&lt;&gt;"",BH50,IF(AN50&lt;&gt;"",AN50,N50))</f>
        <v>Salzburg</v>
      </c>
      <c r="CX50" s="194">
        <v>2</v>
      </c>
      <c r="CZ50" s="194" t="str">
        <f>Matches!H51</f>
        <v>Salzburg</v>
      </c>
      <c r="DA50" s="194">
        <f>IF(CZ2&lt;&gt;"",IF(AND(Matches!J51&lt;&gt;"",Matches!K51&lt;&gt;""),Matches!J51,0),"")</f>
        <v>0</v>
      </c>
      <c r="DB50" s="194">
        <f>IF(CZ2&lt;&gt;"",IF(AND(Matches!J51&lt;&gt;"",Matches!K51&lt;&gt;""),Matches!K51,0),"")</f>
        <v>0</v>
      </c>
      <c r="DC50" s="194" t="str">
        <f>Matches!M51</f>
        <v>Real Madrid</v>
      </c>
      <c r="DD50" s="194" t="str">
        <f>IF(AND(Matches!J51&lt;&gt;"",Matches!K51&lt;&gt;""),IF(DA50&gt;DB50,"W",IF(DA50=DB50,"D","L")),"")</f>
        <v/>
      </c>
      <c r="DE50" s="194" t="str">
        <f t="shared" si="0"/>
        <v/>
      </c>
      <c r="DR50" s="196" t="str">
        <f>Matches!D75</f>
        <v>Group B Winner</v>
      </c>
      <c r="DT50" s="196" t="str">
        <f>IF(ISERROR("Calculator!"&amp;VLOOKUP(DR50,Calculator!DR7:DS38,2,FALSE)),"Calculator!dq77","Calculator!"&amp;VLOOKUP(DR50,Calculator!DR7:DS38,2,FALSE))</f>
        <v>Calculator!dq77</v>
      </c>
      <c r="DV50" s="202" t="s">
        <v>117</v>
      </c>
      <c r="DW50" s="20"/>
      <c r="DX50" s="9">
        <v>44</v>
      </c>
      <c r="DY50" s="203">
        <f t="shared" si="13"/>
        <v>45833.875</v>
      </c>
      <c r="DZ50" s="206">
        <f>EB50+3/24</f>
        <v>45833.875</v>
      </c>
      <c r="EA50" s="205">
        <f t="shared" si="74"/>
        <v>45833.875</v>
      </c>
      <c r="EB50" s="206">
        <v>45833.75</v>
      </c>
    </row>
    <row r="51" spans="1:133" x14ac:dyDescent="0.25">
      <c r="A51" s="194">
        <f>VLOOKUP(B51,CW49:CX52,2,FALSE)</f>
        <v>4</v>
      </c>
      <c r="B51" s="195" t="str">
        <f t="shared" si="93"/>
        <v>Pachuca</v>
      </c>
      <c r="C51" s="194">
        <f>SUMPRODUCT((CZ3:CZ54=B51)*(DD3:DD54="W"))+SUMPRODUCT((DC3:DC54=B51)*(DE3:DE54="W"))</f>
        <v>0</v>
      </c>
      <c r="D51" s="194">
        <f>SUMPRODUCT((CZ3:CZ54=B51)*(DD3:DD54="D"))+SUMPRODUCT((DC3:DC54=B51)*(DE3:DE54="D"))</f>
        <v>0</v>
      </c>
      <c r="E51" s="194">
        <f>SUMPRODUCT((CZ3:CZ54=B51)*(DD3:DD54="L"))+SUMPRODUCT((DC3:DC54=B51)*(DE3:DE54="L"))</f>
        <v>0</v>
      </c>
      <c r="F51" s="194">
        <f>SUMIF(CZ3:CZ72,B51,DA3:DA72)+SUMIF(DC3:DC72,B51,DB3:DB72)</f>
        <v>0</v>
      </c>
      <c r="G51" s="194">
        <f>SUMIF(DC3:DC72,B51,DA3:DA72)+SUMIF(CZ3:CZ72,B51,DB3:DB72)</f>
        <v>0</v>
      </c>
      <c r="H51" s="194">
        <f t="shared" si="89"/>
        <v>1000</v>
      </c>
      <c r="I51" s="194">
        <f t="shared" si="90"/>
        <v>0</v>
      </c>
      <c r="J51" s="194">
        <f>IF(Setup!G38&lt;&gt;"",Setup!G38,1)</f>
        <v>1</v>
      </c>
      <c r="K51" s="194">
        <f>IF(COUNTIF(I49:I52,4)&lt;&gt;4,RANK(I51,I49:I52),I103)</f>
        <v>1</v>
      </c>
      <c r="M51" s="194">
        <f>SUMPRODUCT((K49:K52=K51)*(J49:J52&lt;J51))+K51</f>
        <v>1</v>
      </c>
      <c r="N51" s="195" t="str">
        <f>INDEX(B49:B53,MATCH(3,M49:M53,0),0)</f>
        <v>Salzburg</v>
      </c>
      <c r="O51" s="194">
        <f>INDEX(K49:K53,MATCH(N51,B49:B53,0),0)</f>
        <v>1</v>
      </c>
      <c r="P51" s="194" t="str">
        <f>IF(AND(P50&lt;&gt;"",O51=1),N51,"")</f>
        <v>Salzburg</v>
      </c>
      <c r="Q51" s="194" t="str">
        <f>IF(AND(Q50&lt;&gt;"",O52=2),N52,"")</f>
        <v/>
      </c>
      <c r="R51" s="194" t="str">
        <f>IF(AND(R50&lt;&gt;"",O53=3),N53,"")</f>
        <v/>
      </c>
      <c r="U51" s="194" t="str">
        <f t="shared" si="94"/>
        <v>Salzburg</v>
      </c>
      <c r="V51" s="194">
        <f>SUMPRODUCT((CZ3:CZ54=U51)*(DC3:DC54=U52)*(DD3:DD54="W"))+SUMPRODUCT((CZ3:CZ54=U51)*(DC3:DC54=U53)*(DD3:DD54="W"))+SUMPRODUCT((CZ3:CZ54=U51)*(DC3:DC54=U49)*(DD3:DD54="W"))+SUMPRODUCT((CZ3:CZ54=U51)*(DC3:DC54=U50)*(DD3:DD54="W"))+SUMPRODUCT((CZ3:CZ54=U52)*(DC3:DC54=U51)*(DE3:DE54="W"))+SUMPRODUCT((CZ3:CZ54=U53)*(DC3:DC54=U51)*(DE3:DE54="W"))+SUMPRODUCT((CZ3:CZ54=U49)*(DC3:DC54=U51)*(DE3:DE54="W"))+SUMPRODUCT((CZ3:CZ54=U50)*(DC3:DC54=U51)*(DE3:DE54="W"))</f>
        <v>0</v>
      </c>
      <c r="W51" s="194">
        <f>SUMPRODUCT((CZ3:CZ54=U51)*(DC3:DC54=U52)*(DD3:DD54="D"))+SUMPRODUCT((CZ3:CZ54=U51)*(DC3:DC54=U53)*(DD3:DD54="D"))+SUMPRODUCT((CZ3:CZ54=U51)*(DC3:DC54=U49)*(DD3:DD54="D"))+SUMPRODUCT((CZ3:CZ54=U51)*(DC3:DC54=U50)*(DD3:DD54="D"))+SUMPRODUCT((CZ3:CZ54=U52)*(DC3:DC54=U51)*(DD3:DD54="D"))+SUMPRODUCT((CZ3:CZ54=U53)*(DC3:DC54=U51)*(DD3:DD54="D"))+SUMPRODUCT((CZ3:CZ54=U49)*(DC3:DC54=U51)*(DD3:DD54="D"))+SUMPRODUCT((CZ3:CZ54=U50)*(DC3:DC54=U51)*(DD3:DD54="D"))</f>
        <v>0</v>
      </c>
      <c r="X51" s="194">
        <f>SUMPRODUCT((CZ3:CZ54=U51)*(DC3:DC54=U52)*(DD3:DD54="L"))+SUMPRODUCT((CZ3:CZ54=U51)*(DC3:DC54=U53)*(DD3:DD54="L"))+SUMPRODUCT((CZ3:CZ54=U51)*(DC3:DC54=U49)*(DD3:DD54="L"))+SUMPRODUCT((CZ3:CZ54=U51)*(DC3:DC54=U50)*(DD3:DD54="L"))+SUMPRODUCT((CZ3:CZ54=U52)*(DC3:DC54=U51)*(DE3:DE54="L"))+SUMPRODUCT((CZ3:CZ54=U53)*(DC3:DC54=U51)*(DE3:DE54="L"))+SUMPRODUCT((CZ3:CZ54=U49)*(DC3:DC54=U51)*(DE3:DE54="L"))+SUMPRODUCT((CZ3:CZ54=U50)*(DC3:DC54=U51)*(DE3:DE54="L"))</f>
        <v>0</v>
      </c>
      <c r="Y51" s="194">
        <f>SUMPRODUCT((CZ3:CZ54=U51)*(DC3:DC54=U52)*DA3:DA54)+SUMPRODUCT((CZ3:CZ54=U51)*(DC3:DC54=U53)*DA3:DA54)+SUMPRODUCT((CZ3:CZ54=U51)*(DC3:DC54=U49)*DA3:DA54)+SUMPRODUCT((CZ3:CZ54=U51)*(DC3:DC54=U50)*DA3:DA54)+SUMPRODUCT((CZ3:CZ54=U52)*(DC3:DC54=U51)*DB3:DB54)+SUMPRODUCT((CZ3:CZ54=U53)*(DC3:DC54=U51)*DB3:DB54)+SUMPRODUCT((CZ3:CZ54=U49)*(DC3:DC54=U51)*DB3:DB54)+SUMPRODUCT((CZ3:CZ54=U50)*(DC3:DC54=U51)*DB3:DB54)</f>
        <v>0</v>
      </c>
      <c r="Z51" s="194">
        <f>SUMPRODUCT((CZ3:CZ54=U51)*(DC3:DC54=U52)*DB3:DB54)+SUMPRODUCT((CZ3:CZ54=U51)*(DC3:DC54=U53)*DB3:DB54)+SUMPRODUCT((CZ3:CZ54=U51)*(DC3:DC54=U49)*DB3:DB54)+SUMPRODUCT((CZ3:CZ54=U51)*(DC3:DC54=U50)*DB3:DB54)+SUMPRODUCT((CZ3:CZ54=U52)*(DC3:DC54=U51)*DA3:DA54)+SUMPRODUCT((CZ3:CZ54=U53)*(DC3:DC54=U51)*DA3:DA54)+SUMPRODUCT((CZ3:CZ54=U49)*(DC3:DC54=U51)*DA3:DA54)+SUMPRODUCT((CZ3:CZ54=U50)*(DC3:DC54=U51)*DA3:DA54)</f>
        <v>0</v>
      </c>
      <c r="AA51" s="194">
        <f>Y51-Z51+1000</f>
        <v>1000</v>
      </c>
      <c r="AB51" s="194">
        <f t="shared" si="91"/>
        <v>0</v>
      </c>
      <c r="AC51" s="194">
        <f>IF(U51&lt;&gt;"",VLOOKUP(U51,B4:H52,7,FALSE),"")</f>
        <v>1000</v>
      </c>
      <c r="AD51" s="194">
        <f>IF(U51&lt;&gt;"",VLOOKUP(U51,B4:H52,5,FALSE),"")</f>
        <v>0</v>
      </c>
      <c r="AE51" s="194">
        <f>IF(U51&lt;&gt;"",VLOOKUP(U51,B4:J52,9,FALSE),"")</f>
        <v>17</v>
      </c>
      <c r="AF51" s="194">
        <f t="shared" si="92"/>
        <v>0</v>
      </c>
      <c r="AG51" s="194">
        <f>IF(U51&lt;&gt;"",RANK(AF51,AF49:AF53),"")</f>
        <v>1</v>
      </c>
      <c r="AH51" s="194">
        <f>IF(U51&lt;&gt;"",SUMPRODUCT((AF49:AF53=AF51)*(AA49:AA53&gt;AA51)),"")</f>
        <v>0</v>
      </c>
      <c r="AI51" s="194">
        <f>IF(U51&lt;&gt;"",SUMPRODUCT((AF49:AF53=AF51)*(AA49:AA53=AA51)*(Y49:Y53&gt;Y51)),"")</f>
        <v>0</v>
      </c>
      <c r="AJ51" s="194">
        <f>IF(U51&lt;&gt;"",SUMPRODUCT((AF49:AF53=AF51)*(AA49:AA53=AA51)*(Y49:Y53=Y51)*(AC49:AC53&gt;AC51)),"")</f>
        <v>0</v>
      </c>
      <c r="AK51" s="194">
        <f>IF(U51&lt;&gt;"",SUMPRODUCT((AF49:AF53=AF51)*(AA49:AA53=AA51)*(Y49:Y53=Y51)*(AC49:AC53=AC51)*(AD49:AD53&gt;AD51)),"")</f>
        <v>0</v>
      </c>
      <c r="AL51" s="194">
        <f>IF(U51&lt;&gt;"",SUMPRODUCT((AF49:AF53=AF51)*(AA49:AA53=AA51)*(Y49:Y53=Y51)*(AC49:AC53=AC51)*(AD49:AD53=AD51)*(AE49:AE53&gt;AE51)),"")</f>
        <v>1</v>
      </c>
      <c r="AM51" s="194">
        <f>IF(U51&lt;&gt;"",IF(AM103&lt;&gt;"",IF(T100=3,AM103,AM103+T100),SUM(AG51:AL51)),"")</f>
        <v>2</v>
      </c>
      <c r="AN51" s="194" t="str">
        <f>IF(U51&lt;&gt;"",INDEX(U49:U53,MATCH(3,AM49:AM53,0),0),"")</f>
        <v>Al Hilal</v>
      </c>
      <c r="AO51" s="194" t="str">
        <f>IF(Q50&lt;&gt;"",Q50,"")</f>
        <v/>
      </c>
      <c r="AP51" s="194">
        <f>SUMPRODUCT((CZ3:CZ54=AO51)*(DC3:DC54=AO52)*(DD3:DD54="W"))+SUMPRODUCT((CZ3:CZ54=AO51)*(DC3:DC54=AO53)*(DD3:DD54="W"))+SUMPRODUCT((CZ3:CZ54=AO51)*(DC3:DC54=AO50)*(DD3:DD54="W"))+SUMPRODUCT((CZ3:CZ54=AO52)*(DC3:DC54=AO51)*(DE3:DE54="W"))+SUMPRODUCT((CZ3:CZ54=AO53)*(DC3:DC54=AO51)*(DE3:DE54="W"))+SUMPRODUCT((CZ3:CZ54=AO50)*(DC3:DC54=AO51)*(DE3:DE54="W"))</f>
        <v>0</v>
      </c>
      <c r="AQ51" s="194">
        <f>SUMPRODUCT((CZ3:CZ54=AO51)*(DC3:DC54=AO52)*(DD3:DD54="D"))+SUMPRODUCT((CZ3:CZ54=AO51)*(DC3:DC54=AO53)*(DD3:DD54="D"))+SUMPRODUCT((CZ3:CZ54=AO51)*(DC3:DC54=AO50)*(DD3:DD54="D"))+SUMPRODUCT((CZ3:CZ54=AO52)*(DC3:DC54=AO51)*(DD3:DD54="D"))+SUMPRODUCT((CZ3:CZ54=AO53)*(DC3:DC54=AO51)*(DD3:DD54="D"))+SUMPRODUCT((CZ3:CZ54=AO50)*(DC3:DC54=AO51)*(DD3:DD54="D"))</f>
        <v>0</v>
      </c>
      <c r="AR51" s="194">
        <f>SUMPRODUCT((CZ3:CZ54=AO51)*(DC3:DC54=AO52)*(DD3:DD54="L"))+SUMPRODUCT((CZ3:CZ54=AO51)*(DC3:DC54=AO53)*(DD3:DD54="L"))+SUMPRODUCT((CZ3:CZ54=AO51)*(DC3:DC54=AO50)*(DD3:DD54="L"))+SUMPRODUCT((CZ3:CZ54=AO52)*(DC3:DC54=AO51)*(DE3:DE54="L"))+SUMPRODUCT((CZ3:CZ54=AO53)*(DC3:DC54=AO51)*(DE3:DE54="L"))+SUMPRODUCT((CZ3:CZ54=AO50)*(DC3:DC54=AO51)*(DE3:DE54="L"))</f>
        <v>0</v>
      </c>
      <c r="AS51" s="194">
        <f>SUMPRODUCT((CZ3:CZ54=AO51)*(DC3:DC54=AO52)*DA3:DA54)+SUMPRODUCT((CZ3:CZ54=AO51)*(DC3:DC54=AO53)*DA3:DA54)+SUMPRODUCT((CZ3:CZ54=AO51)*(DC3:DC54=AO49)*DA3:DA54)+SUMPRODUCT((CZ3:CZ54=AO51)*(DC3:DC54=AO50)*DA3:DA54)+SUMPRODUCT((CZ3:CZ54=AO52)*(DC3:DC54=AO51)*DB3:DB54)+SUMPRODUCT((CZ3:CZ54=AO53)*(DC3:DC54=AO51)*DB3:DB54)+SUMPRODUCT((CZ3:CZ54=AO49)*(DC3:DC54=AO51)*DB3:DB54)+SUMPRODUCT((CZ3:CZ54=AO50)*(DC3:DC54=AO51)*DB3:DB54)</f>
        <v>0</v>
      </c>
      <c r="AT51" s="194">
        <f>SUMPRODUCT((CZ3:CZ54=AO51)*(DC3:DC54=AO52)*DB3:DB54)+SUMPRODUCT((CZ3:CZ54=AO51)*(DC3:DC54=AO53)*DB3:DB54)+SUMPRODUCT((CZ3:CZ54=AO51)*(DC3:DC54=AO49)*DB3:DB54)+SUMPRODUCT((CZ3:CZ54=AO51)*(DC3:DC54=AO50)*DB3:DB54)+SUMPRODUCT((CZ3:CZ54=AO52)*(DC3:DC54=AO51)*DA3:DA54)+SUMPRODUCT((CZ3:CZ54=AO53)*(DC3:DC54=AO51)*DA3:DA54)+SUMPRODUCT((CZ3:CZ54=AO49)*(DC3:DC54=AO51)*DA3:DA54)+SUMPRODUCT((CZ3:CZ54=AO50)*(DC3:DC54=AO51)*DA3:DA54)</f>
        <v>0</v>
      </c>
      <c r="AU51" s="194">
        <f>AS51-AT51+1000</f>
        <v>1000</v>
      </c>
      <c r="AV51" s="194" t="str">
        <f t="shared" si="95"/>
        <v/>
      </c>
      <c r="AW51" s="194" t="str">
        <f>IF(AO51&lt;&gt;"",VLOOKUP(AO51,B4:H52,7,FALSE),"")</f>
        <v/>
      </c>
      <c r="AX51" s="194" t="str">
        <f>IF(AO51&lt;&gt;"",VLOOKUP(AO51,B4:H52,5,FALSE),"")</f>
        <v/>
      </c>
      <c r="AY51" s="194" t="str">
        <f>IF(AO51&lt;&gt;"",VLOOKUP(AO51,B4:J52,9,FALSE),"")</f>
        <v/>
      </c>
      <c r="AZ51" s="194" t="str">
        <f t="shared" si="96"/>
        <v/>
      </c>
      <c r="BA51" s="194" t="str">
        <f>IF(AO51&lt;&gt;"",RANK(AZ51,AZ49:AZ52),"")</f>
        <v/>
      </c>
      <c r="BB51" s="194" t="str">
        <f>IF(AO51&lt;&gt;"",SUMPRODUCT((AZ49:AZ53=AZ51)*(AU49:AU53&gt;AU51)),"")</f>
        <v/>
      </c>
      <c r="BC51" s="194" t="str">
        <f>IF(AO51&lt;&gt;"",SUMPRODUCT((AZ49:AZ53=AZ51)*(AU49:AU53=AU51)*(AS49:AS53&gt;AS51)),"")</f>
        <v/>
      </c>
      <c r="BD51" s="194" t="str">
        <f>IF(AO51&lt;&gt;"",SUMPRODUCT((AZ49:AZ53=AZ51)*(AU49:AU53=AU51)*(AS49:AS53=AS51)*(AW49:AW53&gt;AW51)),"")</f>
        <v/>
      </c>
      <c r="BE51" s="194" t="str">
        <f>IF(AO51&lt;&gt;"",SUMPRODUCT((AZ49:AZ53=AZ51)*(AU49:AU53=AU51)*(AS49:AS53=AS51)*(AW49:AW53=AW51)*(AX49:AX53&gt;AX51)),"")</f>
        <v/>
      </c>
      <c r="BF51" s="194" t="str">
        <f>IF(AO51&lt;&gt;"",SUMPRODUCT((AZ49:AZ53=AZ51)*(AU49:AU53=AU51)*(AS49:AS53=AS51)*(AW49:AW53=AW51)*(AX49:AX53=AX51)*(AY49:AY53&gt;AY51)),"")</f>
        <v/>
      </c>
      <c r="BG51" s="194" t="str">
        <f>IF(AO51&lt;&gt;"",IF(BG103&lt;&gt;"",IF(AN100=3,BG103,BG103+AN100),SUM(BA51:BF51)+1),"")</f>
        <v/>
      </c>
      <c r="BH51" s="194" t="str">
        <f>IF(AO51&lt;&gt;"",INDEX(AO50:AO53,MATCH(3,BG50:BG53,0),0),"")</f>
        <v/>
      </c>
      <c r="BI51" s="194" t="str">
        <f>IF(R49&lt;&gt;"",R49,"")</f>
        <v/>
      </c>
      <c r="BJ51" s="194">
        <f>SUMPRODUCT((CZ3:CZ54=BI51)*(DC3:DC54=BI52)*(DD3:DD54="W"))+SUMPRODUCT((CZ3:CZ54=BI51)*(DC3:DC54=BI53)*(DD3:DD54="W"))+SUMPRODUCT((CZ3:CZ54=BI51)*(DC3:DC54=BI66)*(DD3:DD54="W"))+SUMPRODUCT((CZ3:CZ54=BI52)*(DC3:DC54=BI51)*(DE3:DE54="W"))+SUMPRODUCT((CZ3:CZ54=BI53)*(DC3:DC54=BI51)*(DE3:DE54="W"))+SUMPRODUCT((CZ3:CZ54=BI66)*(DC3:DC54=BI51)*(DE3:DE54="W"))</f>
        <v>0</v>
      </c>
      <c r="BK51" s="194">
        <f>SUMPRODUCT((CZ3:CZ54=BI51)*(DC3:DC54=BI52)*(DD3:DD54="D"))+SUMPRODUCT((CZ3:CZ54=BI51)*(DC3:DC54=BI53)*(DD3:DD54="D"))+SUMPRODUCT((CZ3:CZ54=BI51)*(DC3:DC54=BI66)*(DD3:DD54="D"))+SUMPRODUCT((CZ3:CZ54=BI52)*(DC3:DC54=BI51)*(DD3:DD54="D"))+SUMPRODUCT((CZ3:CZ54=BI53)*(DC3:DC54=BI51)*(DD3:DD54="D"))+SUMPRODUCT((CZ3:CZ54=BI66)*(DC3:DC54=BI51)*(DD3:DD54="D"))</f>
        <v>0</v>
      </c>
      <c r="BL51" s="194">
        <f>SUMPRODUCT((CZ3:CZ54=BI51)*(DC3:DC54=BI52)*(DD3:DD54="L"))+SUMPRODUCT((CZ3:CZ54=BI51)*(DC3:DC54=BI53)*(DD3:DD54="L"))+SUMPRODUCT((CZ3:CZ54=BI51)*(DC3:DC54=BI66)*(DD3:DD54="L"))+SUMPRODUCT((CZ3:CZ54=BI52)*(DC3:DC54=BI51)*(DE3:DE54="L"))+SUMPRODUCT((CZ3:CZ54=BI53)*(DC3:DC54=BI51)*(DE3:DE54="L"))+SUMPRODUCT((CZ3:CZ54=BI66)*(DC3:DC54=BI51)*(DE3:DE54="L"))</f>
        <v>0</v>
      </c>
      <c r="BM51" s="194">
        <f>SUMPRODUCT((CZ3:CZ54=BI51)*(DC3:DC54=BI52)*DA3:DA54)+SUMPRODUCT((CZ3:CZ54=BI51)*(DC3:DC54=BI53)*DA3:DA54)+SUMPRODUCT((CZ3:CZ54=BI51)*(DC3:DC54=BI49)*DA3:DA54)+SUMPRODUCT((CZ3:CZ54=BI51)*(DC3:DC54=BI50)*DA3:DA54)+SUMPRODUCT((CZ3:CZ54=BI52)*(DC3:DC54=BI51)*DB3:DB54)+SUMPRODUCT((CZ3:CZ54=BI53)*(DC3:DC54=BI51)*DB3:DB54)+SUMPRODUCT((CZ3:CZ54=BI49)*(DC3:DC54=BI51)*DB3:DB54)+SUMPRODUCT((CZ3:CZ54=BI50)*(DC3:DC54=BI51)*DB3:DB54)</f>
        <v>0</v>
      </c>
      <c r="BN51" s="194">
        <f>SUMPRODUCT((CZ3:CZ54=BI51)*(DC3:DC54=BI52)*DB3:DB54)+SUMPRODUCT((CZ3:CZ54=BI51)*(DC3:DC54=BI53)*DB3:DB54)+SUMPRODUCT((CZ3:CZ54=BI51)*(DC3:DC54=BI49)*DB3:DB54)+SUMPRODUCT((CZ3:CZ54=BI51)*(DC3:DC54=BI50)*DB3:DB54)+SUMPRODUCT((CZ3:CZ54=BI52)*(DC3:DC54=BI51)*DA3:DA54)+SUMPRODUCT((CZ3:CZ54=BI53)*(DC3:DC54=BI51)*DA3:DA54)+SUMPRODUCT((CZ3:CZ54=BI49)*(DC3:DC54=BI51)*DA3:DA54)+SUMPRODUCT((CZ3:CZ54=BI50)*(DC3:DC54=BI51)*DA3:DA54)</f>
        <v>0</v>
      </c>
      <c r="BO51" s="194">
        <f>BM51-BN51+1000</f>
        <v>1000</v>
      </c>
      <c r="BP51" s="194" t="str">
        <f t="shared" ref="BP51:BP52" si="97">IF(BI51&lt;&gt;"",BJ51*3+BK51*1,"")</f>
        <v/>
      </c>
      <c r="BQ51" s="194" t="str">
        <f>IF(BI51&lt;&gt;"",VLOOKUP(BI51,B4:H52,7,FALSE),"")</f>
        <v/>
      </c>
      <c r="BR51" s="194" t="str">
        <f>IF(BI51&lt;&gt;"",VLOOKUP(BI51,B4:H52,5,FALSE),"")</f>
        <v/>
      </c>
      <c r="BS51" s="194" t="str">
        <f>IF(BI51&lt;&gt;"",VLOOKUP(BI51,B4:J52,9,FALSE),"")</f>
        <v/>
      </c>
      <c r="BT51" s="194" t="str">
        <f t="shared" ref="BT51:BT52" si="98">BP51</f>
        <v/>
      </c>
      <c r="BU51" s="194" t="str">
        <f>IF(BI51&lt;&gt;"",RANK(BT51,BT50:BT52),"")</f>
        <v/>
      </c>
      <c r="BV51" s="194" t="str">
        <f>IF(BI51&lt;&gt;"",SUMPRODUCT((BT49:BT53=BT51)*(BO49:BO53&gt;BO51)),"")</f>
        <v/>
      </c>
      <c r="BW51" s="194" t="str">
        <f>IF(BI51&lt;&gt;"",SUMPRODUCT((BT49:BT53=BT51)*(BO49:BO53=BO51)*(BM49:BM53&gt;BM51)),"")</f>
        <v/>
      </c>
      <c r="BX51" s="194" t="str">
        <f>IF(BI51&lt;&gt;"",SUMPRODUCT((BT49:BT53=BT51)*(BO49:BO53=BO51)*(BM49:BM53=BM51)*(BQ49:BQ53&gt;BQ51)),"")</f>
        <v/>
      </c>
      <c r="BY51" s="194" t="str">
        <f>IF(BI51&lt;&gt;"",SUMPRODUCT((BT49:BT53=BT51)*(BO49:BO53=BO51)*(BM49:BM53=BM51)*(BQ49:BQ53=BQ51)*(BR49:BR53&gt;BR51)),"")</f>
        <v/>
      </c>
      <c r="BZ51" s="194" t="str">
        <f>IF(BI51&lt;&gt;"",SUMPRODUCT((BT49:BT53=BT51)*(BO49:BO53=BO51)*(BM49:BM53=BM51)*(BQ49:BQ53=BQ51)*(BR49:BR53=BR51)*(BS49:BS53&gt;BS51)),"")</f>
        <v/>
      </c>
      <c r="CA51" s="194" t="str">
        <f>IF(BI51&lt;&gt;"",SUM(BU51:BZ51)+2,"")</f>
        <v/>
      </c>
      <c r="CB51" s="194" t="str">
        <f>IF(BI51&lt;&gt;"",INDEX(BI51:BI53,MATCH(3,CA51:CA53,0),0),"")</f>
        <v/>
      </c>
      <c r="CW51" s="194" t="str">
        <f>IF(CB51&lt;&gt;"",CB51,IF(BH51&lt;&gt;"",BH51,IF(AN51&lt;&gt;"",AN51,N51)))</f>
        <v>Al Hilal</v>
      </c>
      <c r="CX51" s="194">
        <v>3</v>
      </c>
      <c r="DR51" s="196" t="str">
        <f>Matches!D76</f>
        <v>Group A Runner Up</v>
      </c>
      <c r="DT51" s="196" t="str">
        <f>IF(ISERROR("Calculator!"&amp;VLOOKUP(DR51,Calculator!DR7:DS38,2,FALSE)),"Calculator!dq77","Calculator!"&amp;VLOOKUP(DR51,Calculator!DR7:DS38,2,FALSE))</f>
        <v>Calculator!dq77</v>
      </c>
      <c r="DV51" s="202" t="s">
        <v>118</v>
      </c>
      <c r="DW51" s="20"/>
      <c r="DX51" s="9">
        <v>45</v>
      </c>
      <c r="DY51" s="203">
        <f t="shared" si="13"/>
        <v>45834.625</v>
      </c>
      <c r="DZ51" s="206">
        <v>45834.625</v>
      </c>
      <c r="EA51" s="205">
        <f t="shared" si="74"/>
        <v>45834.625</v>
      </c>
      <c r="EB51" s="206">
        <v>45834.625</v>
      </c>
    </row>
    <row r="52" spans="1:133" x14ac:dyDescent="0.25">
      <c r="A52" s="194">
        <f>VLOOKUP(B52,CW49:CX52,2,FALSE)</f>
        <v>2</v>
      </c>
      <c r="B52" s="195" t="str">
        <f t="shared" si="93"/>
        <v>Salzburg</v>
      </c>
      <c r="C52" s="194">
        <f>SUMPRODUCT((CZ3:CZ54=B52)*(DD3:DD54="W"))+SUMPRODUCT((DC3:DC54=B52)*(DE3:DE54="W"))</f>
        <v>0</v>
      </c>
      <c r="D52" s="194">
        <f>SUMPRODUCT((CZ3:CZ54=B52)*(DD3:DD54="D"))+SUMPRODUCT((DC3:DC54=B52)*(DE3:DE54="D"))</f>
        <v>0</v>
      </c>
      <c r="E52" s="194">
        <f>SUMPRODUCT((CZ3:CZ54=B52)*(DD3:DD54="L"))+SUMPRODUCT((DC3:DC54=B52)*(DE3:DE54="L"))</f>
        <v>0</v>
      </c>
      <c r="F52" s="194">
        <f>SUMIF(CZ3:CZ72,B52,DA3:DA72)+SUMIF(DC3:DC72,B52,DB3:DB72)</f>
        <v>0</v>
      </c>
      <c r="G52" s="194">
        <f>SUMIF(DC3:DC72,B52,DA3:DA72)+SUMIF(CZ3:CZ72,B52,DB3:DB72)</f>
        <v>0</v>
      </c>
      <c r="H52" s="194">
        <f t="shared" si="89"/>
        <v>1000</v>
      </c>
      <c r="I52" s="194">
        <f>IF(LEFT(About!C5,2)="jo",C52*3+D52*1,0)</f>
        <v>0</v>
      </c>
      <c r="J52" s="194">
        <f>IF(Setup!G39&lt;&gt;"",Setup!G39,17)</f>
        <v>17</v>
      </c>
      <c r="K52" s="194">
        <f>IF(COUNTIF(I49:I52,4)&lt;&gt;4,RANK(I52,I49:I52),I104)</f>
        <v>1</v>
      </c>
      <c r="M52" s="194">
        <f>SUMPRODUCT((K49:K52=K52)*(J49:J52&lt;J52))+K52</f>
        <v>3</v>
      </c>
      <c r="N52" s="195" t="str">
        <f>INDEX(B49:B53,MATCH(4,M49:M53,0),0)</f>
        <v>Real Madrid</v>
      </c>
      <c r="O52" s="194">
        <f>INDEX(K49:K53,MATCH(N52,B49:B53,0),0)</f>
        <v>1</v>
      </c>
      <c r="P52" s="194" t="str">
        <f>IF(AND(P51&lt;&gt;"",O52=1),N52,"")</f>
        <v>Real Madrid</v>
      </c>
      <c r="Q52" s="194" t="str">
        <f>IF(AND(Q51&lt;&gt;"",O53=2),N53,"")</f>
        <v/>
      </c>
      <c r="U52" s="194" t="str">
        <f t="shared" si="94"/>
        <v>Real Madrid</v>
      </c>
      <c r="V52" s="194">
        <f>SUMPRODUCT((CZ3:CZ54=U52)*(DC3:DC54=U53)*(DD3:DD54="W"))+SUMPRODUCT((CZ3:CZ54=U52)*(DC3:DC54=U49)*(DD3:DD54="W"))+SUMPRODUCT((CZ3:CZ54=U52)*(DC3:DC54=U50)*(DD3:DD54="W"))+SUMPRODUCT((CZ3:CZ54=U52)*(DC3:DC54=U51)*(DD3:DD54="W"))+SUMPRODUCT((CZ3:CZ54=U53)*(DC3:DC54=U52)*(DE3:DE54="W"))+SUMPRODUCT((CZ3:CZ54=U49)*(DC3:DC54=U52)*(DE3:DE54="W"))+SUMPRODUCT((CZ3:CZ54=U50)*(DC3:DC54=U52)*(DE3:DE54="W"))+SUMPRODUCT((CZ3:CZ54=U51)*(DC3:DC54=U52)*(DE3:DE54="W"))</f>
        <v>0</v>
      </c>
      <c r="W52" s="194">
        <f>SUMPRODUCT((CZ3:CZ54=U52)*(DC3:DC54=U53)*(DD3:DD54="D"))+SUMPRODUCT((CZ3:CZ54=U52)*(DC3:DC54=U49)*(DD3:DD54="D"))+SUMPRODUCT((CZ3:CZ54=U52)*(DC3:DC54=U50)*(DD3:DD54="D"))+SUMPRODUCT((CZ3:CZ54=U52)*(DC3:DC54=U51)*(DD3:DD54="D"))+SUMPRODUCT((CZ3:CZ54=U53)*(DC3:DC54=U52)*(DD3:DD54="D"))+SUMPRODUCT((CZ3:CZ54=U49)*(DC3:DC54=U52)*(DD3:DD54="D"))+SUMPRODUCT((CZ3:CZ54=U50)*(DC3:DC54=U52)*(DD3:DD54="D"))+SUMPRODUCT((CZ3:CZ54=U51)*(DC3:DC54=U52)*(DD3:DD54="D"))</f>
        <v>0</v>
      </c>
      <c r="X52" s="194">
        <f>SUMPRODUCT((CZ3:CZ54=U52)*(DC3:DC54=U53)*(DD3:DD54="L"))+SUMPRODUCT((CZ3:CZ54=U52)*(DC3:DC54=U49)*(DD3:DD54="L"))+SUMPRODUCT((CZ3:CZ54=U52)*(DC3:DC54=U50)*(DD3:DD54="L"))+SUMPRODUCT((CZ3:CZ54=U52)*(DC3:DC54=U51)*(DD3:DD54="L"))+SUMPRODUCT((CZ3:CZ54=U53)*(DC3:DC54=U52)*(DE3:DE54="L"))+SUMPRODUCT((CZ3:CZ54=U49)*(DC3:DC54=U52)*(DE3:DE54="L"))+SUMPRODUCT((CZ3:CZ54=U50)*(DC3:DC54=U52)*(DE3:DE54="L"))+SUMPRODUCT((CZ3:CZ54=U51)*(DC3:DC54=U52)*(DE3:DE54="L"))</f>
        <v>0</v>
      </c>
      <c r="Y52" s="194">
        <f>SUMPRODUCT((CZ3:CZ54=U52)*(DC3:DC54=U53)*DA3:DA54)+SUMPRODUCT((CZ3:CZ54=U52)*(DC3:DC54=U49)*DA3:DA54)+SUMPRODUCT((CZ3:CZ54=U52)*(DC3:DC54=U50)*DA3:DA54)+SUMPRODUCT((CZ3:CZ54=U52)*(DC3:DC54=U51)*DA3:DA54)+SUMPRODUCT((CZ3:CZ54=U53)*(DC3:DC54=U52)*DB3:DB54)+SUMPRODUCT((CZ3:CZ54=U49)*(DC3:DC54=U52)*DB3:DB54)+SUMPRODUCT((CZ3:CZ54=U50)*(DC3:DC54=U52)*DB3:DB54)+SUMPRODUCT((CZ3:CZ54=U51)*(DC3:DC54=U52)*DB3:DB54)</f>
        <v>0</v>
      </c>
      <c r="Z52" s="194">
        <f>SUMPRODUCT((CZ3:CZ54=U52)*(DC3:DC54=U53)*DB3:DB54)+SUMPRODUCT((CZ3:CZ54=U52)*(DC3:DC54=U49)*DB3:DB54)+SUMPRODUCT((CZ3:CZ54=U52)*(DC3:DC54=U50)*DB3:DB54)+SUMPRODUCT((CZ3:CZ54=U52)*(DC3:DC54=U51)*DB3:DB54)+SUMPRODUCT((CZ3:CZ54=U53)*(DC3:DC54=U52)*DA3:DA54)+SUMPRODUCT((CZ3:CZ54=U49)*(DC3:DC54=U52)*DA3:DA54)+SUMPRODUCT((CZ3:CZ54=U50)*(DC3:DC54=U52)*DA3:DA54)+SUMPRODUCT((CZ3:CZ54=U51)*(DC3:DC54=U52)*DA3:DA54)</f>
        <v>0</v>
      </c>
      <c r="AA52" s="194">
        <f>Y52-Z52+1000</f>
        <v>1000</v>
      </c>
      <c r="AB52" s="194">
        <f t="shared" si="91"/>
        <v>0</v>
      </c>
      <c r="AC52" s="194">
        <f>IF(U52&lt;&gt;"",VLOOKUP(U52,B4:H52,7,FALSE),"")</f>
        <v>1000</v>
      </c>
      <c r="AD52" s="194">
        <f>IF(U52&lt;&gt;"",VLOOKUP(U52,B4:H52,5,FALSE),"")</f>
        <v>0</v>
      </c>
      <c r="AE52" s="194">
        <f>IF(U52&lt;&gt;"",VLOOKUP(U52,B4:J52,9,FALSE),"")</f>
        <v>32</v>
      </c>
      <c r="AF52" s="194">
        <f t="shared" si="92"/>
        <v>0</v>
      </c>
      <c r="AG52" s="194">
        <f>IF(U52&lt;&gt;"",RANK(AF52,AF49:AF53),"")</f>
        <v>1</v>
      </c>
      <c r="AH52" s="194">
        <f>IF(U52&lt;&gt;"",SUMPRODUCT((AF49:AF53=AF52)*(AA49:AA53&gt;AA52)),"")</f>
        <v>0</v>
      </c>
      <c r="AI52" s="194">
        <f>IF(U52&lt;&gt;"",SUMPRODUCT((AF49:AF53=AF52)*(AA49:AA53=AA52)*(Y49:Y53&gt;Y52)),"")</f>
        <v>0</v>
      </c>
      <c r="AJ52" s="194">
        <f>IF(U52&lt;&gt;"",SUMPRODUCT((AF49:AF53=AF52)*(AA49:AA53=AA52)*(Y49:Y53=Y52)*(AC49:AC53&gt;AC52)),"")</f>
        <v>0</v>
      </c>
      <c r="AK52" s="194">
        <f>IF(U52&lt;&gt;"",SUMPRODUCT((AF49:AF53=AF52)*(AA49:AA53=AA52)*(Y49:Y53=Y52)*(AC49:AC53=AC52)*(AD49:AD53&gt;AD52)),"")</f>
        <v>0</v>
      </c>
      <c r="AL52" s="194">
        <f>IF(U52&lt;&gt;"",SUMPRODUCT((AF49:AF53=AF52)*(AA49:AA53=AA52)*(Y49:Y53=Y52)*(AC49:AC53=AC52)*(AD49:AD53=AD52)*(AE49:AE53&gt;AE52)),"")</f>
        <v>0</v>
      </c>
      <c r="AM52" s="194">
        <f>IF(U52&lt;&gt;"",IF(AM104&lt;&gt;"",IF(T100=3,AM104,AM104+T100),SUM(AG52:AL52)),"")</f>
        <v>1</v>
      </c>
      <c r="AN52" s="194" t="str">
        <f>IF(U52&lt;&gt;"",INDEX(U49:U53,MATCH(4,AM49:AM53,0),0),"")</f>
        <v>Pachuca</v>
      </c>
      <c r="AO52" s="194" t="str">
        <f>IF(Q51&lt;&gt;"",Q51,"")</f>
        <v/>
      </c>
      <c r="AP52" s="194" t="str">
        <f>IF(AO52&lt;&gt;"",SUMPRODUCT((CZ3:CZ54=AO52)*(DC3:DC54=AO53)*(DD3:DD54="W"))+SUMPRODUCT((CZ3:CZ54=AO52)*(DC3:DC54=AO50)*(DD3:DD54="W"))+SUMPRODUCT((CZ3:CZ54=AO52)*(DC3:DC54=AO51)*(DD3:DD54="W"))+SUMPRODUCT((CZ3:CZ54=AO53)*(DC3:DC54=AO52)*(DE3:DE54="W"))+SUMPRODUCT((CZ3:CZ54=AO50)*(DC3:DC54=AO52)*(DE3:DE54="W"))+SUMPRODUCT((CZ3:CZ54=AO51)*(DC3:DC54=AO52)*(DE3:DE54="W")),"")</f>
        <v/>
      </c>
      <c r="AQ52" s="194" t="str">
        <f>IF(AO52&lt;&gt;"",SUMPRODUCT((CZ3:CZ54=AO52)*(DC3:DC54=AO53)*(DD3:DD54="D"))+SUMPRODUCT((CZ3:CZ54=AO52)*(DC3:DC54=AO50)*(DD3:DD54="D"))+SUMPRODUCT((CZ3:CZ54=AO52)*(DC3:DC54=AO51)*(DD3:DD54="D"))+SUMPRODUCT((CZ3:CZ54=AO53)*(DC3:DC54=AO52)*(DD3:DD54="D"))+SUMPRODUCT((CZ3:CZ54=AO50)*(DC3:DC54=AO52)*(DD3:DD54="D"))+SUMPRODUCT((CZ3:CZ54=AO51)*(DC3:DC54=AO52)*(DD3:DD54="D")),"")</f>
        <v/>
      </c>
      <c r="AR52" s="194" t="str">
        <f>IF(AO52&lt;&gt;"",SUMPRODUCT((CZ3:CZ54=AO52)*(DC3:DC54=AO53)*(DD3:DD54="L"))+SUMPRODUCT((CZ3:CZ54=AO52)*(DC3:DC54=AO50)*(DD3:DD54="L"))+SUMPRODUCT((CZ3:CZ54=AO52)*(DC3:DC54=AO51)*(DD3:DD54="L"))+SUMPRODUCT((CZ3:CZ54=AO53)*(DC3:DC54=AO52)*(DE3:DE54="L"))+SUMPRODUCT((CZ3:CZ54=AO50)*(DC3:DC54=AO52)*(DE3:DE54="L"))+SUMPRODUCT((CZ3:CZ54=AO51)*(DC3:DC54=AO52)*(DE3:DE54="L")),"")</f>
        <v/>
      </c>
      <c r="AS52" s="194">
        <f>SUMPRODUCT((CZ3:CZ54=AO52)*(DC3:DC54=AO53)*DA3:DA54)+SUMPRODUCT((CZ3:CZ54=AO52)*(DC3:DC54=AO49)*DA3:DA54)+SUMPRODUCT((CZ3:CZ54=AO52)*(DC3:DC54=AO50)*DA3:DA54)+SUMPRODUCT((CZ3:CZ54=AO52)*(DC3:DC54=AO51)*DA3:DA54)+SUMPRODUCT((CZ3:CZ54=AO53)*(DC3:DC54=AO52)*DB3:DB54)+SUMPRODUCT((CZ3:CZ54=AO49)*(DC3:DC54=AO52)*DB3:DB54)+SUMPRODUCT((CZ3:CZ54=AO50)*(DC3:DC54=AO52)*DB3:DB54)+SUMPRODUCT((CZ3:CZ54=AO51)*(DC3:DC54=AO52)*DB3:DB54)</f>
        <v>0</v>
      </c>
      <c r="AT52" s="194">
        <f>SUMPRODUCT((CZ3:CZ54=AO52)*(DC3:DC54=AO53)*DB3:DB54)+SUMPRODUCT((CZ3:CZ54=AO52)*(DC3:DC54=AO49)*DB3:DB54)+SUMPRODUCT((CZ3:CZ54=AO52)*(DC3:DC54=AO50)*DB3:DB54)+SUMPRODUCT((CZ3:CZ54=AO52)*(DC3:DC54=AO51)*DB3:DB54)+SUMPRODUCT((CZ3:CZ54=AO53)*(DC3:DC54=AO52)*DA3:DA54)+SUMPRODUCT((CZ3:CZ54=AO49)*(DC3:DC54=AO52)*DA3:DA54)+SUMPRODUCT((CZ3:CZ54=AO50)*(DC3:DC54=AO52)*DA3:DA54)+SUMPRODUCT((CZ3:CZ54=AO51)*(DC3:DC54=AO52)*DA3:DA54)</f>
        <v>0</v>
      </c>
      <c r="AU52" s="194">
        <f>AS52-AT52+1000</f>
        <v>1000</v>
      </c>
      <c r="AV52" s="194" t="str">
        <f t="shared" si="95"/>
        <v/>
      </c>
      <c r="AW52" s="194" t="str">
        <f>IF(AO52&lt;&gt;"",VLOOKUP(AO52,B4:H52,7,FALSE),"")</f>
        <v/>
      </c>
      <c r="AX52" s="194" t="str">
        <f>IF(AO52&lt;&gt;"",VLOOKUP(AO52,B4:H52,5,FALSE),"")</f>
        <v/>
      </c>
      <c r="AY52" s="194" t="str">
        <f>IF(AO52&lt;&gt;"",VLOOKUP(AO52,B4:J52,9,FALSE),"")</f>
        <v/>
      </c>
      <c r="AZ52" s="194" t="str">
        <f t="shared" si="96"/>
        <v/>
      </c>
      <c r="BA52" s="194" t="str">
        <f>IF(AO52&lt;&gt;"",RANK(AZ52,AZ49:AZ52),"")</f>
        <v/>
      </c>
      <c r="BB52" s="194" t="str">
        <f>IF(AO52&lt;&gt;"",SUMPRODUCT((AZ49:AZ53=AZ52)*(AU49:AU53&gt;AU52)),"")</f>
        <v/>
      </c>
      <c r="BC52" s="194" t="str">
        <f>IF(AO52&lt;&gt;"",SUMPRODUCT((AZ49:AZ53=AZ52)*(AU49:AU53=AU52)*(AS49:AS53&gt;AS52)),"")</f>
        <v/>
      </c>
      <c r="BD52" s="194" t="str">
        <f>IF(AO52&lt;&gt;"",SUMPRODUCT((AZ49:AZ53=AZ52)*(AU49:AU53=AU52)*(AS49:AS53=AS52)*(AW49:AW53&gt;AW52)),"")</f>
        <v/>
      </c>
      <c r="BE52" s="194" t="str">
        <f>IF(AO52&lt;&gt;"",SUMPRODUCT((AZ49:AZ53=AZ52)*(AU49:AU53=AU52)*(AS49:AS53=AS52)*(AW49:AW53=AW52)*(AX49:AX53&gt;AX52)),"")</f>
        <v/>
      </c>
      <c r="BF52" s="194" t="str">
        <f>IF(AO52&lt;&gt;"",SUMPRODUCT((AZ49:AZ53=AZ52)*(AU49:AU53=AU52)*(AS49:AS53=AS52)*(AW49:AW53=AW52)*(AX49:AX53=AX52)*(AY49:AY53&gt;AY52)),"")</f>
        <v/>
      </c>
      <c r="BG52" s="194" t="str">
        <f>IF(AO52&lt;&gt;"",IF(BG104&lt;&gt;"",IF(AN100=3,BG104,BG104+AN100),SUM(BA52:BF52)+1),"")</f>
        <v/>
      </c>
      <c r="BH52" s="194" t="str">
        <f>IF(AO52&lt;&gt;"",INDEX(AO50:AO53,MATCH(4,BG50:BG53,0),0),"")</f>
        <v/>
      </c>
      <c r="BI52" s="194" t="str">
        <f>IF(R50&lt;&gt;"",R50,"")</f>
        <v/>
      </c>
      <c r="BJ52" s="194">
        <f>SUMPRODUCT((CZ3:CZ54=BI52)*(DC3:DC54=BI53)*(DD3:DD54="W"))+SUMPRODUCT((CZ3:CZ54=BI52)*(DC3:DC54=BI66)*(DD3:DD54="W"))+SUMPRODUCT((CZ3:CZ54=BI52)*(DC3:DC54=BI51)*(DD3:DD54="W"))+SUMPRODUCT((CZ3:CZ54=BI53)*(DC3:DC54=BI52)*(DE3:DE54="W"))+SUMPRODUCT((CZ3:CZ54=BI66)*(DC3:DC54=BI52)*(DE3:DE54="W"))+SUMPRODUCT((CZ3:CZ54=BI51)*(DC3:DC54=BI52)*(DE3:DE54="W"))</f>
        <v>0</v>
      </c>
      <c r="BK52" s="194">
        <f>SUMPRODUCT((CZ3:CZ54=BI52)*(DC3:DC54=BI53)*(DD3:DD54="D"))+SUMPRODUCT((CZ3:CZ54=BI52)*(DC3:DC54=BI66)*(DD3:DD54="D"))+SUMPRODUCT((CZ3:CZ54=BI52)*(DC3:DC54=BI51)*(DD3:DD54="D"))+SUMPRODUCT((CZ3:CZ54=BI53)*(DC3:DC54=BI52)*(DD3:DD54="D"))+SUMPRODUCT((CZ3:CZ54=BI66)*(DC3:DC54=BI52)*(DD3:DD54="D"))+SUMPRODUCT((CZ3:CZ54=BI51)*(DC3:DC54=BI52)*(DD3:DD54="D"))</f>
        <v>0</v>
      </c>
      <c r="BL52" s="194">
        <f>SUMPRODUCT((CZ3:CZ54=BI52)*(DC3:DC54=BI53)*(DD3:DD54="L"))+SUMPRODUCT((CZ3:CZ54=BI52)*(DC3:DC54=BI66)*(DD3:DD54="L"))+SUMPRODUCT((CZ3:CZ54=BI52)*(DC3:DC54=BI51)*(DD3:DD54="L"))+SUMPRODUCT((CZ3:CZ54=BI53)*(DC3:DC54=BI52)*(DE3:DE54="L"))+SUMPRODUCT((CZ3:CZ54=BI66)*(DC3:DC54=BI52)*(DE3:DE54="L"))+SUMPRODUCT((CZ3:CZ54=BI51)*(DC3:DC54=BI52)*(DE3:DE54="L"))</f>
        <v>0</v>
      </c>
      <c r="BM52" s="194">
        <f>SUMPRODUCT((CZ3:CZ54=BI52)*(DC3:DC54=BI53)*DA3:DA54)+SUMPRODUCT((CZ3:CZ54=BI52)*(DC3:DC54=BI49)*DA3:DA54)+SUMPRODUCT((CZ3:CZ54=BI52)*(DC3:DC54=BI50)*DA3:DA54)+SUMPRODUCT((CZ3:CZ54=BI52)*(DC3:DC54=BI51)*DA3:DA54)+SUMPRODUCT((CZ3:CZ54=BI53)*(DC3:DC54=BI52)*DB3:DB54)+SUMPRODUCT((CZ3:CZ54=BI49)*(DC3:DC54=BI52)*DB3:DB54)+SUMPRODUCT((CZ3:CZ54=BI50)*(DC3:DC54=BI52)*DB3:DB54)+SUMPRODUCT((CZ3:CZ54=BI51)*(DC3:DC54=BI52)*DB3:DB54)</f>
        <v>0</v>
      </c>
      <c r="BN52" s="194">
        <f>SUMPRODUCT((CZ3:CZ54=BI52)*(DC3:DC54=BI53)*DB3:DB54)+SUMPRODUCT((CZ3:CZ54=BI52)*(DC3:DC54=BI49)*DB3:DB54)+SUMPRODUCT((CZ3:CZ54=BI52)*(DC3:DC54=BI50)*DB3:DB54)+SUMPRODUCT((CZ3:CZ54=BI52)*(DC3:DC54=BI51)*DB3:DB54)+SUMPRODUCT((CZ3:CZ54=BI53)*(DC3:DC54=BI52)*DA3:DA54)+SUMPRODUCT((CZ3:CZ54=BI49)*(DC3:DC54=BI52)*DA3:DA54)+SUMPRODUCT((CZ3:CZ54=BI50)*(DC3:DC54=BI52)*DA3:DA54)+SUMPRODUCT((CZ3:CZ54=BI51)*(DC3:DC54=BI52)*DA3:DA54)</f>
        <v>0</v>
      </c>
      <c r="BO52" s="194">
        <f>BM52-BN52+1000</f>
        <v>1000</v>
      </c>
      <c r="BP52" s="194" t="str">
        <f t="shared" si="97"/>
        <v/>
      </c>
      <c r="BQ52" s="194" t="str">
        <f>IF(BI52&lt;&gt;"",VLOOKUP(BI52,B4:H52,7,FALSE),"")</f>
        <v/>
      </c>
      <c r="BR52" s="194" t="str">
        <f>IF(BI52&lt;&gt;"",VLOOKUP(BI52,B4:H52,5,FALSE),"")</f>
        <v/>
      </c>
      <c r="BS52" s="194" t="str">
        <f>IF(BI52&lt;&gt;"",VLOOKUP(BI52,B4:J52,9,FALSE),"")</f>
        <v/>
      </c>
      <c r="BT52" s="194" t="str">
        <f t="shared" si="98"/>
        <v/>
      </c>
      <c r="BU52" s="194" t="str">
        <f>IF(BI52&lt;&gt;"",RANK(BT52,BT50:BT52),"")</f>
        <v/>
      </c>
      <c r="BV52" s="194" t="str">
        <f>IF(BI52&lt;&gt;"",SUMPRODUCT((BT49:BT53=BT52)*(BO49:BO53&gt;BO52)),"")</f>
        <v/>
      </c>
      <c r="BW52" s="194" t="str">
        <f>IF(BI52&lt;&gt;"",SUMPRODUCT((BT49:BT53=BT52)*(BO49:BO53=BO52)*(BM49:BM53&gt;BM52)),"")</f>
        <v/>
      </c>
      <c r="BX52" s="194" t="str">
        <f>IF(BI52&lt;&gt;"",SUMPRODUCT((BT49:BT53=BT52)*(BO49:BO53=BO52)*(BM49:BM53=BM52)*(BQ49:BQ53&gt;BQ52)),"")</f>
        <v/>
      </c>
      <c r="BY52" s="194" t="str">
        <f>IF(BI52&lt;&gt;"",SUMPRODUCT((BT49:BT53=BT52)*(BO49:BO53=BO52)*(BM49:BM53=BM52)*(BQ49:BQ53=BQ52)*(BR49:BR53&gt;BR52)),"")</f>
        <v/>
      </c>
      <c r="BZ52" s="194" t="str">
        <f>IF(BI52&lt;&gt;"",SUMPRODUCT((BT49:BT53=BT52)*(BO49:BO53=BO52)*(BM49:BM53=BM52)*(BQ49:BQ53=BQ52)*(BR49:BR53=BR52)*(BS49:BS53&gt;BS52)),"")</f>
        <v/>
      </c>
      <c r="CA52" s="194" t="str">
        <f>IF(BI52&lt;&gt;"",SUM(BU52:BZ52)+2,"")</f>
        <v/>
      </c>
      <c r="CB52" s="194" t="str">
        <f>IF(BI52&lt;&gt;"",INDEX(BI51:BI53,MATCH(4,CA51:CA53,0),0),"")</f>
        <v/>
      </c>
      <c r="CC52" s="194" t="str">
        <f>IF(S49&lt;&gt;"",S49,"")</f>
        <v/>
      </c>
      <c r="CD52" s="194">
        <f>SUMPRODUCT((CZ3:CZ54=CC52)*(DC3:DC54=CC53)*(DD3:DD54="W"))+SUMPRODUCT((CZ3:CZ54=CC52)*(DC3:DC54=CC66)*(DD3:DD54="W"))+SUMPRODUCT((CZ3:CZ54=CC52)*(DC3:DC54=CC67)*(DD3:DD54="W"))+SUMPRODUCT((CZ3:CZ54=CC53)*(DC3:DC54=CC52)*(DE3:DE54="W"))+SUMPRODUCT((CZ3:CZ54=CC66)*(DC3:DC54=CC52)*(DE3:DE54="W"))+SUMPRODUCT((CZ3:CZ54=CC67)*(DC3:DC54=CC52)*(DE3:DE54="W"))</f>
        <v>0</v>
      </c>
      <c r="CE52" s="194">
        <f>SUMPRODUCT((CZ3:CZ54=CC52)*(DC3:DC54=CC53)*(DD3:DD54="D"))+SUMPRODUCT((CZ3:CZ54=CC52)*(DC3:DC54=CC66)*(DD3:DD54="D"))+SUMPRODUCT((CZ3:CZ54=CC52)*(DC3:DC54=CC67)*(DD3:DD54="D"))+SUMPRODUCT((CZ3:CZ54=CC53)*(DC3:DC54=CC52)*(DD3:DD54="D"))+SUMPRODUCT((CZ3:CZ54=CC66)*(DC3:DC54=CC52)*(DD3:DD54="D"))+SUMPRODUCT((CZ3:CZ54=CC67)*(DC3:DC54=CC52)*(DD3:DD54="D"))</f>
        <v>0</v>
      </c>
      <c r="CF52" s="194">
        <f>SUMPRODUCT((CZ3:CZ54=CC52)*(DC3:DC54=CC53)*(DD3:DD54="L"))+SUMPRODUCT((CZ3:CZ54=CC52)*(DC3:DC54=CC66)*(DD3:DD54="L"))+SUMPRODUCT((CZ3:CZ54=CC52)*(DC3:DC54=CC67)*(DD3:DD54="L"))+SUMPRODUCT((CZ3:CZ54=CC53)*(DC3:DC54=CC52)*(DE3:DE54="L"))+SUMPRODUCT((CZ3:CZ54=CC66)*(DC3:DC54=CC52)*(DE3:DE54="L"))+SUMPRODUCT((CZ3:CZ54=CC67)*(DC3:DC54=CC52)*(DE3:DE54="L"))</f>
        <v>0</v>
      </c>
      <c r="CG52" s="194">
        <f>SUMPRODUCT((CZ3:CZ54=CC52)*(DC3:DC54=CC53)*DA3:DA54)+SUMPRODUCT((CZ3:CZ54=CC52)*(DC3:DC54=CC49)*DA3:DA54)+SUMPRODUCT((CZ3:CZ54=CC52)*(DC3:DC54=CC50)*DA3:DA54)+SUMPRODUCT((CZ3:CZ54=CC52)*(DC3:DC54=CC51)*DA3:DA54)+SUMPRODUCT((CZ3:CZ54=CC53)*(DC3:DC54=CC52)*DB3:DB54)+SUMPRODUCT((CZ3:CZ54=CC49)*(DC3:DC54=CC52)*DB3:DB54)+SUMPRODUCT((CZ3:CZ54=CC50)*(DC3:DC54=CC52)*DB3:DB54)+SUMPRODUCT((CZ3:CZ54=CC51)*(DC3:DC54=CC52)*DB3:DB54)</f>
        <v>0</v>
      </c>
      <c r="CH52" s="194">
        <f>SUMPRODUCT((CZ3:CZ54=CC52)*(DC3:DC54=CC53)*DB3:DB54)+SUMPRODUCT((CZ3:CZ54=CC52)*(DC3:DC54=CC49)*DB3:DB54)+SUMPRODUCT((CZ3:CZ54=CC52)*(DC3:DC54=CC50)*DB3:DB54)+SUMPRODUCT((CZ3:CZ54=CC52)*(DC3:DC54=CC51)*DB3:DB54)+SUMPRODUCT((CZ3:CZ54=CC53)*(DC3:DC54=CC52)*DA3:DA54)+SUMPRODUCT((CZ3:CZ54=CC49)*(DC3:DC54=CC52)*DA3:DA54)+SUMPRODUCT((CZ3:CZ54=CC50)*(DC3:DC54=CC52)*DA3:DA54)+SUMPRODUCT((CZ3:CZ54=CC51)*(DC3:DC54=CC52)*DA3:DA54)</f>
        <v>0</v>
      </c>
      <c r="CI52" s="194">
        <f>CG52-CH52+1000</f>
        <v>1000</v>
      </c>
      <c r="CJ52" s="194" t="str">
        <f t="shared" ref="CJ52" si="99">IF(CC52&lt;&gt;"",CD52*3+CE52*1,"")</f>
        <v/>
      </c>
      <c r="CK52" s="194" t="str">
        <f>IF(CC52&lt;&gt;"",VLOOKUP(CC52,B4:H52,7,FALSE),"")</f>
        <v/>
      </c>
      <c r="CL52" s="194" t="str">
        <f>IF(CC52&lt;&gt;"",VLOOKUP(CC52,B4:H52,5,FALSE),"")</f>
        <v/>
      </c>
      <c r="CM52" s="194" t="str">
        <f>IF(CC52&lt;&gt;"",VLOOKUP(CC52,B4:J52,9,FALSE),"")</f>
        <v/>
      </c>
      <c r="CN52" s="194" t="str">
        <f t="shared" ref="CN52" si="100">CJ52</f>
        <v/>
      </c>
      <c r="CO52" s="194" t="str">
        <f>IF(CC52&lt;&gt;"",RANK(CN52,AF49:AF53),"")</f>
        <v/>
      </c>
      <c r="CP52" s="194" t="str">
        <f>IF(CC52&lt;&gt;"",SUMPRODUCT((CN49:CN53=CN52)*(CI49:CI53&gt;CI52)),"")</f>
        <v/>
      </c>
      <c r="CQ52" s="194" t="str">
        <f>IF(CC52&lt;&gt;"",SUMPRODUCT((CN49:CN53=CN52)*(CI49:CI53=CI52)*(CG49:CG53&gt;CG52)),"")</f>
        <v/>
      </c>
      <c r="CR52" s="194" t="str">
        <f>IF(CC52&lt;&gt;"",SUMPRODUCT((CN49:CN53=CN52)*(CI49:CI53=CI52)*(CG49:CG53=CG52)*(CK49:CK53&gt;CK52)),"")</f>
        <v/>
      </c>
      <c r="CS52" s="194" t="str">
        <f>IF(CC52&lt;&gt;"",SUMPRODUCT((CN49:CN53=CN52)*(CI49:CI53=CI52)*(CG49:CG53=CG52)*(CK49:CK53=CK52)*(CL49:CL53&gt;CL52)),"")</f>
        <v/>
      </c>
      <c r="CT52" s="194" t="str">
        <f>IF(CC52&lt;&gt;"",SUMPRODUCT((CN49:CN53=CN52)*(CI49:CI53=CI52)*(CG49:CG53=CG52)*(CK49:CK53=CK52)*(CL49:CL53=CL52)*(CM49:CM53&gt;CM52)),"")</f>
        <v/>
      </c>
      <c r="CU52" s="194" t="str">
        <f>IF(CC52&lt;&gt;"",SUM(CO52:CT52)+3,"")</f>
        <v/>
      </c>
      <c r="CV52" s="194" t="str">
        <f>IF(CC52&lt;&gt;"",IF(CU52=4,CC52,CC53),"")</f>
        <v/>
      </c>
      <c r="CW52" s="194" t="str">
        <f>IF(CV52&lt;&gt;"",CV52,IF(CB52&lt;&gt;"",CB52,IF(BH52&lt;&gt;"",BH52,IF(AN52&lt;&gt;"",AN52,N52))))</f>
        <v>Pachuca</v>
      </c>
      <c r="CX52" s="194">
        <v>4</v>
      </c>
      <c r="DR52" s="196" t="str">
        <f>Matches!D79</f>
        <v>Group F Winner</v>
      </c>
      <c r="DT52" s="196" t="str">
        <f>IF(ISERROR("Calculator!"&amp;VLOOKUP(DR52,Calculator!DR7:DS38,2,FALSE)),"Calculator!dq77","Calculator!"&amp;VLOOKUP(DR52,Calculator!DR7:DS38,2,FALSE))</f>
        <v>Calculator!dq77</v>
      </c>
      <c r="DV52" s="202" t="s">
        <v>119</v>
      </c>
      <c r="DW52" s="20"/>
      <c r="DX52" s="9">
        <v>46</v>
      </c>
      <c r="DY52" s="203">
        <f t="shared" si="13"/>
        <v>45834.625</v>
      </c>
      <c r="DZ52" s="206">
        <v>45834.625</v>
      </c>
      <c r="EA52" s="205">
        <f t="shared" si="74"/>
        <v>45834.625</v>
      </c>
      <c r="EB52" s="206">
        <v>45834.625</v>
      </c>
    </row>
    <row r="53" spans="1:133" x14ac:dyDescent="0.25">
      <c r="DR53" s="196" t="str">
        <f>Matches!D80</f>
        <v>Group E Runner Up</v>
      </c>
      <c r="DT53" s="196" t="str">
        <f>IF(ISERROR("Calculator!"&amp;VLOOKUP(DR53,Calculator!DR7:DS38,2,FALSE)),"Calculator!dq77","Calculator!"&amp;VLOOKUP(DR53,Calculator!DR7:DS38,2,FALSE))</f>
        <v>Calculator!dq77</v>
      </c>
      <c r="DV53" s="202" t="s">
        <v>120</v>
      </c>
      <c r="DW53" s="20"/>
      <c r="DX53" s="9">
        <v>47</v>
      </c>
      <c r="DY53" s="203">
        <f t="shared" si="13"/>
        <v>45834.875</v>
      </c>
      <c r="DZ53" s="206">
        <f>EB53+1/24</f>
        <v>45834.875</v>
      </c>
      <c r="EA53" s="205">
        <f t="shared" si="74"/>
        <v>45834.875</v>
      </c>
      <c r="EB53" s="206">
        <v>45834.833333333336</v>
      </c>
    </row>
    <row r="54" spans="1:133" x14ac:dyDescent="0.25">
      <c r="CC54" s="194" t="s">
        <v>85</v>
      </c>
      <c r="DR54" s="196" t="str">
        <f>Matches!D83</f>
        <v>Group H Winner</v>
      </c>
      <c r="DT54" s="196" t="str">
        <f>IF(ISERROR("Calculator!"&amp;VLOOKUP(DR54,Calculator!DR7:DS38,2,FALSE)),"Calculator!dq77","Calculator!"&amp;VLOOKUP(DR54,Calculator!DR7:DS38,2,FALSE))</f>
        <v>Calculator!dq77</v>
      </c>
      <c r="DV54" s="202" t="s">
        <v>121</v>
      </c>
      <c r="DW54" s="20"/>
      <c r="DX54" s="9">
        <v>48</v>
      </c>
      <c r="DY54" s="203">
        <f t="shared" si="13"/>
        <v>45834.875</v>
      </c>
      <c r="DZ54" s="206">
        <v>45834.875</v>
      </c>
      <c r="EA54" s="205">
        <f t="shared" si="74"/>
        <v>45834.875</v>
      </c>
      <c r="EB54" s="206">
        <v>45834.875</v>
      </c>
    </row>
    <row r="55" spans="1:133" x14ac:dyDescent="0.25">
      <c r="H55" s="194" t="s">
        <v>588</v>
      </c>
      <c r="I55" s="194" t="s">
        <v>589</v>
      </c>
      <c r="T55" s="194">
        <f>IF(U56="",SUM(AG4:AL4),IF(U57="",SUM(AG5:AL5),IF(U58="",SUM(AG6:AL6),IF(U59="",SUM(AG7:AL7),0))))</f>
        <v>0</v>
      </c>
      <c r="U55" s="194" t="s">
        <v>590</v>
      </c>
      <c r="V55" s="194" t="s">
        <v>80</v>
      </c>
      <c r="W55" s="194" t="s">
        <v>81</v>
      </c>
      <c r="X55" s="194" t="s">
        <v>82</v>
      </c>
      <c r="Y55" s="194" t="s">
        <v>567</v>
      </c>
      <c r="Z55" s="194" t="s">
        <v>568</v>
      </c>
      <c r="AA55" s="194" t="s">
        <v>569</v>
      </c>
      <c r="AB55" s="194" t="s">
        <v>79</v>
      </c>
      <c r="AC55" s="194" t="s">
        <v>579</v>
      </c>
      <c r="AD55" s="194" t="s">
        <v>580</v>
      </c>
      <c r="AE55" s="194" t="s">
        <v>581</v>
      </c>
      <c r="AF55" s="194" t="s">
        <v>582</v>
      </c>
      <c r="AG55" s="194" t="s">
        <v>583</v>
      </c>
      <c r="AH55" s="194" t="s">
        <v>584</v>
      </c>
      <c r="AI55" s="194" t="s">
        <v>567</v>
      </c>
      <c r="AJ55" s="194" t="s">
        <v>585</v>
      </c>
      <c r="AK55" s="194" t="s">
        <v>580</v>
      </c>
      <c r="AL55" s="194" t="s">
        <v>581</v>
      </c>
      <c r="AM55" s="194" t="s">
        <v>586</v>
      </c>
      <c r="AN55" s="194">
        <f>IF(AO57="",SUM(BA5:BF5),IF(AO58="",SUM(BA6:BF6),IF(AO59="",SUM(BA7:BF7),0)))</f>
        <v>0</v>
      </c>
      <c r="AO55" s="194" t="s">
        <v>591</v>
      </c>
      <c r="AP55" s="194" t="s">
        <v>80</v>
      </c>
      <c r="AQ55" s="194" t="s">
        <v>81</v>
      </c>
      <c r="AR55" s="194" t="s">
        <v>82</v>
      </c>
      <c r="AS55" s="194" t="s">
        <v>567</v>
      </c>
      <c r="AT55" s="194" t="s">
        <v>568</v>
      </c>
      <c r="AU55" s="194" t="s">
        <v>569</v>
      </c>
      <c r="AV55" s="194" t="s">
        <v>79</v>
      </c>
      <c r="AW55" s="194" t="s">
        <v>579</v>
      </c>
      <c r="AX55" s="194" t="s">
        <v>580</v>
      </c>
      <c r="AY55" s="194" t="s">
        <v>581</v>
      </c>
      <c r="AZ55" s="194" t="s">
        <v>582</v>
      </c>
      <c r="BA55" s="194" t="s">
        <v>583</v>
      </c>
      <c r="BB55" s="194" t="s">
        <v>584</v>
      </c>
      <c r="BC55" s="194" t="s">
        <v>567</v>
      </c>
      <c r="BD55" s="194" t="s">
        <v>585</v>
      </c>
      <c r="BE55" s="194" t="s">
        <v>580</v>
      </c>
      <c r="BF55" s="194" t="s">
        <v>581</v>
      </c>
      <c r="BG55" s="194" t="s">
        <v>586</v>
      </c>
      <c r="DR55" s="196" t="str">
        <f>Matches!D84</f>
        <v>Group G Runner Up</v>
      </c>
      <c r="DT55" s="196" t="str">
        <f>IF(ISERROR("Calculator!"&amp;VLOOKUP(DR55,Calculator!DR7:DS38,2,FALSE)),"Calculator!dq77","Calculator!"&amp;VLOOKUP(DR55,Calculator!DR7:DS38,2,FALSE))</f>
        <v>Calculator!dq77</v>
      </c>
      <c r="DV55" s="202" t="s">
        <v>122</v>
      </c>
      <c r="DW55" s="20"/>
      <c r="DX55" s="9">
        <v>49</v>
      </c>
      <c r="DY55" s="203">
        <f t="shared" si="13"/>
        <v>45836.5</v>
      </c>
      <c r="DZ55" s="206">
        <v>45836.5</v>
      </c>
      <c r="EA55" s="205">
        <f t="shared" si="74"/>
        <v>45836.5</v>
      </c>
      <c r="EB55" s="206">
        <v>45836.5</v>
      </c>
    </row>
    <row r="56" spans="1:133" x14ac:dyDescent="0.25">
      <c r="F56" s="194">
        <v>1</v>
      </c>
      <c r="G56" s="194">
        <v>1</v>
      </c>
      <c r="H56" s="194">
        <v>1</v>
      </c>
      <c r="I56" s="194">
        <f>IF(COUNTIF(I4:I7,4)=4,1,SUMPRODUCT((I4:I7=I4)*(H4:H7=H4)*(F4:F7&gt;F4))+1)</f>
        <v>1</v>
      </c>
      <c r="S56" s="194">
        <v>4</v>
      </c>
      <c r="T56" s="194">
        <f>IF(U4&lt;&gt;"",SUMPRODUCT((AB4:AB7=AB4)*(AA4:AA7=AA4)*(Y4:Y7=Y4)*(Z4:Z7=Z4)),"")</f>
        <v>4</v>
      </c>
      <c r="U56" s="194" t="str">
        <f>IF(AND(T56&lt;&gt;"",T56&gt;1),U4,"")</f>
        <v>Inter Miami</v>
      </c>
      <c r="V56" s="194">
        <f>SUMPRODUCT((CZ3:CZ54=U56)*(DC3:DC54=U57)*(DD3:DD54="W"))+SUMPRODUCT((CZ3:CZ54=U56)*(DC3:DC54=U58)*(DD3:DD54="W"))+SUMPRODUCT((CZ3:CZ54=U56)*(DC3:DC54=U59)*(DD3:DD54="W"))+SUMPRODUCT((CZ3:CZ54=U56)*(DC3:DC54=U60)*(DD3:DD54="W"))+SUMPRODUCT((CZ3:CZ54=U57)*(DC3:DC54=U56)*(DE3:DE54="W"))+SUMPRODUCT((CZ3:CZ54=U58)*(DC3:DC54=U56)*(DE3:DE54="W"))+SUMPRODUCT((CZ3:CZ54=U59)*(DC3:DC54=U56)*(DE3:DE54="W"))+SUMPRODUCT((CZ3:CZ54=U60)*(DC3:DC54=U56)*(DE3:DE54="W"))</f>
        <v>0</v>
      </c>
      <c r="W56" s="194">
        <f>SUMPRODUCT((CZ3:CZ54=U56)*(DC3:DC54=U57)*(DD3:DD54="D"))+SUMPRODUCT((CZ3:CZ54=U56)*(DC3:DC54=U58)*(DD3:DD54="D"))+SUMPRODUCT((CZ3:CZ54=U56)*(DC3:DC54=U59)*(DD3:DD54="D"))+SUMPRODUCT((CZ3:CZ54=U56)*(DC3:DC54=U60)*(DD3:DD54="D"))+SUMPRODUCT((CZ3:CZ54=U57)*(DC3:DC54=U56)*(DD3:DD54="D"))+SUMPRODUCT((CZ3:CZ54=U58)*(DC3:DC54=U56)*(DD3:DD54="D"))+SUMPRODUCT((CZ3:CZ54=U59)*(DC3:DC54=U56)*(DD3:DD54="D"))+SUMPRODUCT((CZ3:CZ54=U60)*(DC3:DC54=U56)*(DD3:DD54="D"))</f>
        <v>0</v>
      </c>
      <c r="X56" s="194">
        <f>SUMPRODUCT((CZ3:CZ54=U56)*(DC3:DC54=U57)*(DD3:DD54="L"))+SUMPRODUCT((CZ3:CZ54=U56)*(DC3:DC54=U58)*(DD3:DD54="L"))+SUMPRODUCT((CZ3:CZ54=U56)*(DC3:DC54=U59)*(DD3:DD54="L"))+SUMPRODUCT((CZ3:CZ54=U56)*(DC3:DC54=U60)*(DD3:DD54="L"))+SUMPRODUCT((CZ3:CZ54=U57)*(DC3:DC54=U56)*(DE3:DE54="L"))+SUMPRODUCT((CZ3:CZ54=U58)*(DC3:DC54=U56)*(DE3:DE54="L"))+SUMPRODUCT((CZ3:CZ54=U59)*(DC3:DC54=U56)*(DE3:DE54="L"))+SUMPRODUCT((CZ3:CZ54=U60)*(DC3:DC54=U56)*(DE3:DE54="L"))</f>
        <v>0</v>
      </c>
      <c r="Y56" s="194">
        <f>SUMPRODUCT((CZ3:CZ54=U56)*(DC3:DC54=U57)*DA3:DA54)+SUMPRODUCT((CZ3:CZ54=U56)*(DC3:DC54=U58)*DA3:DA54)+SUMPRODUCT((CZ3:CZ54=U56)*(DC3:DC54=U59)*DA3:DA54)+SUMPRODUCT((CZ3:CZ54=U56)*(DC3:DC54=U60)*DA3:DA54)+SUMPRODUCT((CZ3:CZ54=U57)*(DC3:DC54=U56)*DB3:DB54)+SUMPRODUCT((CZ3:CZ54=U58)*(DC3:DC54=U56)*DB3:DB54)+SUMPRODUCT((CZ3:CZ54=U59)*(DC3:DC54=U56)*DB3:DB54)+SUMPRODUCT((CZ3:CZ54=U60)*(DC3:DC54=U56)*DB3:DB54)</f>
        <v>0</v>
      </c>
      <c r="Z56" s="194">
        <f>SUMPRODUCT((CZ3:CZ54=U56)*(DC3:DC54=U57)*DB3:DB54)+SUMPRODUCT((CZ3:CZ54=U56)*(DC3:DC54=U58)*DB3:DB54)+SUMPRODUCT((CZ3:CZ54=U56)*(DC3:DC54=U59)*DB3:DB54)+SUMPRODUCT((CZ3:CZ54=U56)*(DC3:DC54=U60)*DB3:DB54)+SUMPRODUCT((CZ3:CZ54=U57)*(DC3:DC54=U56)*DA3:DA54)+SUMPRODUCT((CZ3:CZ54=U58)*(DC3:DC54=U56)*DA3:DA54)+SUMPRODUCT((CZ3:CZ54=U59)*(DC3:DC54=U56)*DA3:DA54)+SUMPRODUCT((CZ3:CZ54=U60)*(DC3:DC54=U56)*DA3:DA54)</f>
        <v>0</v>
      </c>
      <c r="AA56" s="194">
        <f>Y56-Z56+1000</f>
        <v>1000</v>
      </c>
      <c r="AB56" s="194">
        <f>IF(U56&lt;&gt;"",V56*3+W56*1,"")</f>
        <v>0</v>
      </c>
      <c r="AC56" s="194">
        <f>IF(U56&lt;&gt;"",VLOOKUP(U56,B4:H52,7,FALSE),"")</f>
        <v>1000</v>
      </c>
      <c r="AD56" s="194">
        <f>IF(U56&lt;&gt;"",VLOOKUP(U56,B4:H52,5,FALSE),"")</f>
        <v>0</v>
      </c>
      <c r="AE56" s="194">
        <f>IF(U56&lt;&gt;"",VLOOKUP(U56,B4:J52,9,FALSE),"")</f>
        <v>8</v>
      </c>
      <c r="AF56" s="194">
        <f>AB56</f>
        <v>0</v>
      </c>
      <c r="AG56" s="194">
        <f>IF(U56&lt;&gt;"",RANK(AF56,AF56:AF60),"")</f>
        <v>1</v>
      </c>
      <c r="AH56" s="194">
        <f>IF(U56&lt;&gt;"",SUMPRODUCT((AF56:AF60=AF56)*(AA56:AA60&gt;AA56)),"")</f>
        <v>0</v>
      </c>
      <c r="AI56" s="194">
        <f>IF(U56&lt;&gt;"",SUMPRODUCT((AF56:AF60=AF56)*(AA56:AA60=AA56)*(Y56:Y60&gt;Y56)),"")</f>
        <v>0</v>
      </c>
      <c r="AJ56" s="194">
        <f>IF(U56&lt;&gt;"",SUMPRODUCT((AF56:AF60=AF56)*(AA56:AA60=AA56)*(Y56:Y60=Y56)*(AC56:AC60&gt;AC56)),"")</f>
        <v>0</v>
      </c>
      <c r="AK56" s="194">
        <f>IF(U56&lt;&gt;"",SUMPRODUCT((AF56:AF60=AF56)*(AA56:AA60=AA56)*(Y56:Y60=Y56)*(AC56:AC60=AC56)*(AD56:AD60&gt;AD56)),"")</f>
        <v>0</v>
      </c>
      <c r="AL56" s="194">
        <f>IF(U56&lt;&gt;"",SUMPRODUCT((AF56:AF60=AF56)*(AA56:AA60=AA56)*(Y56:Y60=Y56)*(AC56:AC60=AC56)*(AD56:AD60=AD56)*(AE56:AE60&gt;AE56)),"")</f>
        <v>3</v>
      </c>
      <c r="AM56" s="194">
        <f>IF(U56&lt;&gt;"",SUM(AG56:AL56),"")</f>
        <v>4</v>
      </c>
      <c r="DR56" s="196" t="str">
        <f>Matches!H57</f>
        <v>Match 49 Winner</v>
      </c>
      <c r="DT56" s="196" t="str">
        <f>IF(ISERROR("Calculator!"&amp;VLOOKUP(DR56,Calculator!DR7:DS38,2,FALSE)),"Calculator!dq77","Calculator!"&amp;VLOOKUP(DR56,Calculator!DR7:DS38,2,FALSE))</f>
        <v>Calculator!dq77</v>
      </c>
      <c r="DV56" s="202"/>
      <c r="DW56" s="20"/>
      <c r="DX56" s="9">
        <v>50</v>
      </c>
      <c r="DY56" s="203">
        <f t="shared" si="13"/>
        <v>45836.666666666664</v>
      </c>
      <c r="DZ56" s="206">
        <v>45836.666666666664</v>
      </c>
      <c r="EA56" s="205">
        <f t="shared" si="74"/>
        <v>45836.666666666664</v>
      </c>
      <c r="EB56" s="206">
        <v>45836.666666666664</v>
      </c>
    </row>
    <row r="57" spans="1:133" x14ac:dyDescent="0.25">
      <c r="F57" s="194">
        <v>1</v>
      </c>
      <c r="G57" s="194">
        <v>1</v>
      </c>
      <c r="H57" s="194">
        <v>1</v>
      </c>
      <c r="I57" s="194">
        <f>IF(COUNTIF(I4:I7,4)=4,1,SUMPRODUCT((I4:I7=I5)*(H4:H7=H5)*(F4:F7&gt;F5))+1)</f>
        <v>1</v>
      </c>
      <c r="S57" s="194">
        <v>3</v>
      </c>
      <c r="T57" s="194">
        <f>IF(U5&lt;&gt;"",SUMPRODUCT((AB4:AB7=AB5)*(AA4:AA7=AA5)*(Y4:Y7=Y5)*(Z4:Z7=Z5)),"")</f>
        <v>4</v>
      </c>
      <c r="U57" s="194" t="str">
        <f>IF(AND(T57&lt;&gt;"",T57&gt;1),U5,"")</f>
        <v>Al Ahly</v>
      </c>
      <c r="V57" s="194">
        <f>SUMPRODUCT((CZ3:CZ54=U57)*(DC3:DC54=U58)*(DD3:DD54="W"))+SUMPRODUCT((CZ3:CZ54=U57)*(DC3:DC54=U59)*(DD3:DD54="W"))+SUMPRODUCT((CZ3:CZ54=U57)*(DC3:DC54=U60)*(DD3:DD54="W"))+SUMPRODUCT((CZ3:CZ54=U57)*(DC3:DC54=U56)*(DD3:DD54="W"))+SUMPRODUCT((CZ3:CZ54=U58)*(DC3:DC54=U57)*(DE3:DE54="W"))+SUMPRODUCT((CZ3:CZ54=U59)*(DC3:DC54=U57)*(DE3:DE54="W"))+SUMPRODUCT((CZ3:CZ54=U60)*(DC3:DC54=U57)*(DE3:DE54="W"))+SUMPRODUCT((CZ3:CZ54=U56)*(DC3:DC54=U57)*(DE3:DE54="W"))</f>
        <v>0</v>
      </c>
      <c r="W57" s="194">
        <f>SUMPRODUCT((CZ3:CZ54=U57)*(DC3:DC54=U58)*(DD3:DD54="D"))+SUMPRODUCT((CZ3:CZ54=U57)*(DC3:DC54=U59)*(DD3:DD54="D"))+SUMPRODUCT((CZ3:CZ54=U57)*(DC3:DC54=U60)*(DD3:DD54="D"))+SUMPRODUCT((CZ3:CZ54=U57)*(DC3:DC54=U56)*(DD3:DD54="D"))+SUMPRODUCT((CZ3:CZ54=U58)*(DC3:DC54=U57)*(DD3:DD54="D"))+SUMPRODUCT((CZ3:CZ54=U59)*(DC3:DC54=U57)*(DD3:DD54="D"))+SUMPRODUCT((CZ3:CZ54=U60)*(DC3:DC54=U57)*(DD3:DD54="D"))+SUMPRODUCT((CZ3:CZ54=U56)*(DC3:DC54=U57)*(DD3:DD54="D"))</f>
        <v>0</v>
      </c>
      <c r="X57" s="194">
        <f>SUMPRODUCT((CZ3:CZ54=U57)*(DC3:DC54=U58)*(DD3:DD54="L"))+SUMPRODUCT((CZ3:CZ54=U57)*(DC3:DC54=U59)*(DD3:DD54="L"))+SUMPRODUCT((CZ3:CZ54=U57)*(DC3:DC54=U60)*(DD3:DD54="L"))+SUMPRODUCT((CZ3:CZ54=U57)*(DC3:DC54=U56)*(DD3:DD54="L"))+SUMPRODUCT((CZ3:CZ54=U58)*(DC3:DC54=U57)*(DE3:DE54="L"))+SUMPRODUCT((CZ3:CZ54=U59)*(DC3:DC54=U57)*(DE3:DE54="L"))+SUMPRODUCT((CZ3:CZ54=U60)*(DC3:DC54=U57)*(DE3:DE54="L"))+SUMPRODUCT((CZ3:CZ54=U56)*(DC3:DC54=U57)*(DE3:DE54="L"))</f>
        <v>0</v>
      </c>
      <c r="Y57" s="194">
        <f>SUMPRODUCT((CZ3:CZ54=U57)*(DC3:DC54=U58)*DA3:DA54)+SUMPRODUCT((CZ3:CZ54=U57)*(DC3:DC54=U59)*DA3:DA54)+SUMPRODUCT((CZ3:CZ54=U57)*(DC3:DC54=U60)*DA3:DA54)+SUMPRODUCT((CZ3:CZ54=U57)*(DC3:DC54=U56)*DA3:DA54)+SUMPRODUCT((CZ3:CZ54=U58)*(DC3:DC54=U57)*DB3:DB54)+SUMPRODUCT((CZ3:CZ54=U59)*(DC3:DC54=U57)*DB3:DB54)+SUMPRODUCT((CZ3:CZ54=U60)*(DC3:DC54=U57)*DB3:DB54)+SUMPRODUCT((CZ3:CZ54=U56)*(DC3:DC54=U57)*DB3:DB54)</f>
        <v>0</v>
      </c>
      <c r="Z57" s="194">
        <f>SUMPRODUCT((CZ3:CZ54=U57)*(DC3:DC54=U58)*DB3:DB54)+SUMPRODUCT((CZ3:CZ54=U57)*(DC3:DC54=U59)*DB3:DB54)+SUMPRODUCT((CZ3:CZ54=U57)*(DC3:DC54=U60)*DB3:DB54)+SUMPRODUCT((CZ3:CZ54=U57)*(DC3:DC54=U56)*DB3:DB54)+SUMPRODUCT((CZ3:CZ54=U58)*(DC3:DC54=U57)*DA3:DA54)+SUMPRODUCT((CZ3:CZ54=U59)*(DC3:DC54=U57)*DA3:DA54)+SUMPRODUCT((CZ3:CZ54=U60)*(DC3:DC54=U57)*DA3:DA54)+SUMPRODUCT((CZ3:CZ54=U56)*(DC3:DC54=U57)*DA3:DA54)</f>
        <v>0</v>
      </c>
      <c r="AA57" s="194">
        <f>Y57-Z57+1000</f>
        <v>1000</v>
      </c>
      <c r="AB57" s="194">
        <f t="shared" ref="AB57:AB59" si="101">IF(U57&lt;&gt;"",V57*3+W57*1,"")</f>
        <v>0</v>
      </c>
      <c r="AC57" s="194">
        <f>IF(U57&lt;&gt;"",VLOOKUP(U57,B4:H52,7,FALSE),"")</f>
        <v>1000</v>
      </c>
      <c r="AD57" s="194">
        <f>IF(U57&lt;&gt;"",VLOOKUP(U57,B4:H52,5,FALSE),"")</f>
        <v>0</v>
      </c>
      <c r="AE57" s="194">
        <f>IF(U57&lt;&gt;"",VLOOKUP(U57,B4:J52,9,FALSE),"")</f>
        <v>16</v>
      </c>
      <c r="AF57" s="194">
        <f t="shared" ref="AF57:AF59" si="102">AB57</f>
        <v>0</v>
      </c>
      <c r="AG57" s="194">
        <f>IF(U57&lt;&gt;"",RANK(AF57,AF56:AF60),"")</f>
        <v>1</v>
      </c>
      <c r="AH57" s="194">
        <f>IF(U57&lt;&gt;"",SUMPRODUCT((AF56:AF60=AF57)*(AA56:AA60&gt;AA57)),"")</f>
        <v>0</v>
      </c>
      <c r="AI57" s="194">
        <f>IF(U57&lt;&gt;"",SUMPRODUCT((AF56:AF60=AF57)*(AA56:AA60=AA57)*(Y56:Y60&gt;Y57)),"")</f>
        <v>0</v>
      </c>
      <c r="AJ57" s="194">
        <f>IF(U57&lt;&gt;"",SUMPRODUCT((AF56:AF60=AF57)*(AA56:AA60=AA57)*(Y56:Y60=Y57)*(AC56:AC60&gt;AC57)),"")</f>
        <v>0</v>
      </c>
      <c r="AK57" s="194">
        <f>IF(U57&lt;&gt;"",SUMPRODUCT((AF56:AF60=AF57)*(AA56:AA60=AA57)*(Y56:Y60=Y57)*(AC56:AC60=AC57)*(AD56:AD60&gt;AD57)),"")</f>
        <v>0</v>
      </c>
      <c r="AL57" s="194">
        <f>IF(U57&lt;&gt;"",SUMPRODUCT((AF56:AF60=AF57)*(AA56:AA60=AA57)*(Y56:Y60=Y57)*(AC56:AC60=AC57)*(AD56:AD60=AD57)*(AE56:AE60&gt;AE57)),"")</f>
        <v>2</v>
      </c>
      <c r="AM57" s="194">
        <f>IF(U57&lt;&gt;"",SUM(AG57:AL57),"")</f>
        <v>3</v>
      </c>
      <c r="AN57" s="194" t="str">
        <f>IF(AO5&lt;&gt;"",SUMPRODUCT((AV4:AV7=AV5)*(AU4:AU7=AU5)*(AS4:AS7=AS5)*(AT4:AT7=AT5)),"")</f>
        <v/>
      </c>
      <c r="AO57" s="194" t="str">
        <f>IF(AND(AN57&lt;&gt;"",AN57&gt;1),AO5,"")</f>
        <v/>
      </c>
      <c r="AP57" s="194">
        <f>SUMPRODUCT((CZ3:CZ54=AO57)*(DC3:DC54=AO58)*(DD3:DD54="W"))+SUMPRODUCT((CZ3:CZ54=AO57)*(DC3:DC54=AO59)*(DD3:DD54="W"))+SUMPRODUCT((CZ3:CZ54=AO57)*(DC3:DC54=AO60)*(DD3:DD54="W"))+SUMPRODUCT((CZ3:CZ54=AO58)*(DC3:DC54=AO57)*(DE3:DE54="W"))+SUMPRODUCT((CZ3:CZ54=AO59)*(DC3:DC54=AO57)*(DE3:DE54="W"))+SUMPRODUCT((CZ3:CZ54=AO60)*(DC3:DC54=AO57)*(DE3:DE54="W"))</f>
        <v>0</v>
      </c>
      <c r="AQ57" s="194">
        <f>SUMPRODUCT((CZ3:CZ54=AO57)*(DC3:DC54=AO58)*(DD3:DD54="D"))+SUMPRODUCT((CZ3:CZ54=AO57)*(DC3:DC54=AO59)*(DD3:DD54="D"))+SUMPRODUCT((CZ3:CZ54=AO57)*(DC3:DC54=AO60)*(DD3:DD54="D"))+SUMPRODUCT((CZ3:CZ54=AO58)*(DC3:DC54=AO57)*(DD3:DD54="D"))+SUMPRODUCT((CZ3:CZ54=AO59)*(DC3:DC54=AO57)*(DD3:DD54="D"))+SUMPRODUCT((CZ3:CZ54=AO60)*(DC3:DC54=AO57)*(DD3:DD54="D"))</f>
        <v>0</v>
      </c>
      <c r="AR57" s="194">
        <f>SUMPRODUCT((CZ3:CZ54=AO57)*(DC3:DC54=AO58)*(DD3:DD54="L"))+SUMPRODUCT((CZ3:CZ54=AO57)*(DC3:DC54=AO59)*(DD3:DD54="L"))+SUMPRODUCT((CZ3:CZ54=AO57)*(DC3:DC54=AO60)*(DD3:DD54="L"))+SUMPRODUCT((CZ3:CZ54=AO58)*(DC3:DC54=AO57)*(DE3:DE54="L"))+SUMPRODUCT((CZ3:CZ54=AO59)*(DC3:DC54=AO57)*(DE3:DE54="L"))+SUMPRODUCT((CZ3:CZ54=AO60)*(DC3:DC54=AO57)*(DE3:DE54="L"))</f>
        <v>0</v>
      </c>
      <c r="AS57" s="194">
        <f>SUMPRODUCT((CZ3:CZ54=AO57)*(DC3:DC54=AO58)*DA3:DA54)+SUMPRODUCT((CZ3:CZ54=AO57)*(DC3:DC54=AO59)*DA3:DA54)+SUMPRODUCT((CZ3:CZ54=AO57)*(DC3:DC54=AO60)*DA3:DA54)+SUMPRODUCT((CZ3:CZ54=AO57)*(DC3:DC54=AO56)*DA3:DA54)+SUMPRODUCT((CZ3:CZ54=AO58)*(DC3:DC54=AO57)*DB3:DB54)+SUMPRODUCT((CZ3:CZ54=AO59)*(DC3:DC54=AO57)*DB3:DB54)+SUMPRODUCT((CZ3:CZ54=AO60)*(DC3:DC54=AO57)*DB3:DB54)+SUMPRODUCT((CZ3:CZ54=AO56)*(DC3:DC54=AO57)*DB3:DB54)</f>
        <v>0</v>
      </c>
      <c r="AT57" s="194">
        <f>SUMPRODUCT((CZ3:CZ54=AO57)*(DC3:DC54=AO58)*DB3:DB54)+SUMPRODUCT((CZ3:CZ54=AO57)*(DC3:DC54=AO59)*DB3:DB54)+SUMPRODUCT((CZ3:CZ54=AO57)*(DC3:DC54=AO60)*DB3:DB54)+SUMPRODUCT((CZ3:CZ54=AO57)*(DC3:DC54=AO56)*DB3:DB54)+SUMPRODUCT((CZ3:CZ54=AO58)*(DC3:DC54=AO57)*DA3:DA54)+SUMPRODUCT((CZ3:CZ54=AO59)*(DC3:DC54=AO57)*DA3:DA54)+SUMPRODUCT((CZ3:CZ54=AO60)*(DC3:DC54=AO57)*DA3:DA54)+SUMPRODUCT((CZ3:CZ54=AO56)*(DC3:DC54=AO57)*DA3:DA54)</f>
        <v>0</v>
      </c>
      <c r="AU57" s="194">
        <f>AS57-AT57+1000</f>
        <v>1000</v>
      </c>
      <c r="AV57" s="194" t="str">
        <f t="shared" ref="AV57:AV59" si="103">IF(AO57&lt;&gt;"",AP57*3+AQ57*1,"")</f>
        <v/>
      </c>
      <c r="AW57" s="194" t="str">
        <f>IF(AO57&lt;&gt;"",VLOOKUP(AO57,B4:H52,7,FALSE),"")</f>
        <v/>
      </c>
      <c r="AX57" s="194" t="str">
        <f>IF(AO57&lt;&gt;"",VLOOKUP(AO57,B4:H52,5,FALSE),"")</f>
        <v/>
      </c>
      <c r="AY57" s="194" t="str">
        <f>IF(AO57&lt;&gt;"",VLOOKUP(AO57,B4:J52,9,FALSE),"")</f>
        <v/>
      </c>
      <c r="AZ57" s="194" t="str">
        <f t="shared" ref="AZ57:AZ59" si="104">AV57</f>
        <v/>
      </c>
      <c r="BA57" s="194" t="str">
        <f>IF(AO57&lt;&gt;"",RANK(AZ57,AZ56:AZ59),"")</f>
        <v/>
      </c>
      <c r="BB57" s="194" t="str">
        <f>IF(AO57&lt;&gt;"",SUMPRODUCT((AZ56:AZ59=AZ57)*(AU56:AU59&gt;AU57)),"")</f>
        <v/>
      </c>
      <c r="BC57" s="194" t="str">
        <f>IF(AO57&lt;&gt;"",SUMPRODUCT((AZ56:AZ59=AZ57)*(AU56:AU59=AU57)*(AS56:AS59&gt;AS57)),"")</f>
        <v/>
      </c>
      <c r="BD57" s="194" t="str">
        <f>IF(AO57&lt;&gt;"",SUMPRODUCT((AZ56:AZ59=AZ57)*(AU56:AU59=AU57)*(AS56:AS59=AS57)*(AW56:AW59&gt;AW57)),"")</f>
        <v/>
      </c>
      <c r="BE57" s="194" t="str">
        <f>IF(AO57&lt;&gt;"",SUMPRODUCT((AZ56:AZ59=AZ57)*(AU56:AU59=AU57)*(AS56:AS59=AS57)*(AW56:AW59=AW57)*(AX56:AX59&gt;AX57)),"")</f>
        <v/>
      </c>
      <c r="BF57" s="194" t="str">
        <f>IF(AO57&lt;&gt;"",SUMPRODUCT((AZ56:AZ59=AZ57)*(AU56:AU59=AU57)*(AS56:AS59=AS57)*(AW56:AW59=AW57)*(AX56:AX59=AX57)*(AY56:AY59&gt;AY57)),"")</f>
        <v/>
      </c>
      <c r="BG57" s="194" t="str">
        <f>IF(AO57&lt;&gt;"",SUM(BA57:BF57)+1,"")</f>
        <v/>
      </c>
      <c r="DR57" s="196" t="str">
        <f>Matches!H58</f>
        <v>Match 50 Winner</v>
      </c>
      <c r="DT57" s="196" t="str">
        <f>IF(ISERROR("Calculator!"&amp;VLOOKUP(DR57,Calculator!DR7:DS38,2,FALSE)),"Calculator!dq77","Calculator!"&amp;VLOOKUP(DR57,Calculator!DR7:DS38,2,FALSE))</f>
        <v>Calculator!dq77</v>
      </c>
      <c r="DW57" s="20"/>
      <c r="DX57" s="9">
        <v>51</v>
      </c>
      <c r="DY57" s="203">
        <f t="shared" si="13"/>
        <v>45837.5</v>
      </c>
      <c r="DZ57" s="206">
        <v>45837.5</v>
      </c>
      <c r="EA57" s="205">
        <f t="shared" si="74"/>
        <v>45837.5</v>
      </c>
      <c r="EB57" s="206">
        <v>45837.5</v>
      </c>
    </row>
    <row r="58" spans="1:133" x14ac:dyDescent="0.25">
      <c r="F58" s="194">
        <v>1</v>
      </c>
      <c r="G58" s="194">
        <v>1</v>
      </c>
      <c r="H58" s="194">
        <v>1</v>
      </c>
      <c r="I58" s="194">
        <f>IF(COUNTIF(I4:I7,4)=4,1,SUMPRODUCT((I4:I7=I6)*(H4:H7=H6)*(F4:F7&gt;F6))+1)</f>
        <v>1</v>
      </c>
      <c r="S58" s="194">
        <v>2</v>
      </c>
      <c r="T58" s="194">
        <f>IF(U6&lt;&gt;"",SUMPRODUCT((AB4:AB7=AB6)*(AA4:AA7=AA6)*(Y4:Y7=Y6)*(Z4:Z7=Z6)),"")</f>
        <v>4</v>
      </c>
      <c r="U58" s="194" t="str">
        <f>IF(AND(T58&lt;&gt;"",T58&gt;1),U6,"")</f>
        <v>Porto</v>
      </c>
      <c r="V58" s="194">
        <f>SUMPRODUCT((CZ3:CZ54=U58)*(DC3:DC54=U59)*(DD3:DD54="W"))+SUMPRODUCT((CZ3:CZ54=U58)*(DC3:DC54=U60)*(DD3:DD54="W"))+SUMPRODUCT((CZ3:CZ54=U58)*(DC3:DC54=U56)*(DD3:DD54="W"))+SUMPRODUCT((CZ3:CZ54=U58)*(DC3:DC54=U57)*(DD3:DD54="W"))+SUMPRODUCT((CZ3:CZ54=U59)*(DC3:DC54=U58)*(DE3:DE54="W"))+SUMPRODUCT((CZ3:CZ54=U60)*(DC3:DC54=U58)*(DE3:DE54="W"))+SUMPRODUCT((CZ3:CZ54=U56)*(DC3:DC54=U58)*(DE3:DE54="W"))+SUMPRODUCT((CZ3:CZ54=U57)*(DC3:DC54=U58)*(DE3:DE54="W"))</f>
        <v>0</v>
      </c>
      <c r="W58" s="194">
        <f>SUMPRODUCT((CZ3:CZ54=U58)*(DC3:DC54=U59)*(DD3:DD54="D"))+SUMPRODUCT((CZ3:CZ54=U58)*(DC3:DC54=U60)*(DD3:DD54="D"))+SUMPRODUCT((CZ3:CZ54=U58)*(DC3:DC54=U56)*(DD3:DD54="D"))+SUMPRODUCT((CZ3:CZ54=U58)*(DC3:DC54=U57)*(DD3:DD54="D"))+SUMPRODUCT((CZ3:CZ54=U59)*(DC3:DC54=U58)*(DD3:DD54="D"))+SUMPRODUCT((CZ3:CZ54=U60)*(DC3:DC54=U58)*(DD3:DD54="D"))+SUMPRODUCT((CZ3:CZ54=U56)*(DC3:DC54=U58)*(DD3:DD54="D"))+SUMPRODUCT((CZ3:CZ54=U57)*(DC3:DC54=U58)*(DD3:DD54="D"))</f>
        <v>0</v>
      </c>
      <c r="X58" s="194">
        <f>SUMPRODUCT((CZ3:CZ54=U58)*(DC3:DC54=U59)*(DD3:DD54="L"))+SUMPRODUCT((CZ3:CZ54=U58)*(DC3:DC54=U60)*(DD3:DD54="L"))+SUMPRODUCT((CZ3:CZ54=U58)*(DC3:DC54=U56)*(DD3:DD54="L"))+SUMPRODUCT((CZ3:CZ54=U58)*(DC3:DC54=U57)*(DD3:DD54="L"))+SUMPRODUCT((CZ3:CZ54=U59)*(DC3:DC54=U58)*(DE3:DE54="L"))+SUMPRODUCT((CZ3:CZ54=U60)*(DC3:DC54=U58)*(DE3:DE54="L"))+SUMPRODUCT((CZ3:CZ54=U56)*(DC3:DC54=U58)*(DE3:DE54="L"))+SUMPRODUCT((CZ3:CZ54=U57)*(DC3:DC54=U58)*(DE3:DE54="L"))</f>
        <v>0</v>
      </c>
      <c r="Y58" s="194">
        <f>SUMPRODUCT((CZ3:CZ54=U58)*(DC3:DC54=U59)*DA3:DA54)+SUMPRODUCT((CZ3:CZ54=U58)*(DC3:DC54=U60)*DA3:DA54)+SUMPRODUCT((CZ3:CZ54=U58)*(DC3:DC54=U56)*DA3:DA54)+SUMPRODUCT((CZ3:CZ54=U58)*(DC3:DC54=U57)*DA3:DA54)+SUMPRODUCT((CZ3:CZ54=U59)*(DC3:DC54=U58)*DB3:DB54)+SUMPRODUCT((CZ3:CZ54=U60)*(DC3:DC54=U58)*DB3:DB54)+SUMPRODUCT((CZ3:CZ54=U56)*(DC3:DC54=U58)*DB3:DB54)+SUMPRODUCT((CZ3:CZ54=U57)*(DC3:DC54=U58)*DB3:DB54)</f>
        <v>0</v>
      </c>
      <c r="Z58" s="194">
        <f>SUMPRODUCT((CZ3:CZ54=U58)*(DC3:DC54=U59)*DB3:DB54)+SUMPRODUCT((CZ3:CZ54=U58)*(DC3:DC54=U60)*DB3:DB54)+SUMPRODUCT((CZ3:CZ54=U58)*(DC3:DC54=U56)*DB3:DB54)+SUMPRODUCT((CZ3:CZ54=U58)*(DC3:DC54=U57)*DB3:DB54)+SUMPRODUCT((CZ3:CZ54=U59)*(DC3:DC54=U58)*DA3:DA54)+SUMPRODUCT((CZ3:CZ54=U60)*(DC3:DC54=U58)*DA3:DA54)+SUMPRODUCT((CZ3:CZ54=U56)*(DC3:DC54=U58)*DA3:DA54)+SUMPRODUCT((CZ3:CZ54=U57)*(DC3:DC54=U58)*DA3:DA54)</f>
        <v>0</v>
      </c>
      <c r="AA58" s="194">
        <f>Y58-Z58+1000</f>
        <v>1000</v>
      </c>
      <c r="AB58" s="194">
        <f t="shared" si="101"/>
        <v>0</v>
      </c>
      <c r="AC58" s="194">
        <f>IF(U58&lt;&gt;"",VLOOKUP(U58,B4:H52,7,FALSE),"")</f>
        <v>1000</v>
      </c>
      <c r="AD58" s="194">
        <f>IF(U58&lt;&gt;"",VLOOKUP(U58,B4:H52,5,FALSE),"")</f>
        <v>0</v>
      </c>
      <c r="AE58" s="194">
        <f>IF(U58&lt;&gt;"",VLOOKUP(U58,B4:J52,9,FALSE),"")</f>
        <v>24</v>
      </c>
      <c r="AF58" s="194">
        <f t="shared" si="102"/>
        <v>0</v>
      </c>
      <c r="AG58" s="194">
        <f>IF(U58&lt;&gt;"",RANK(AF58,AF56:AF60),"")</f>
        <v>1</v>
      </c>
      <c r="AH58" s="194">
        <f>IF(U58&lt;&gt;"",SUMPRODUCT((AF56:AF60=AF58)*(AA56:AA60&gt;AA58)),"")</f>
        <v>0</v>
      </c>
      <c r="AI58" s="194">
        <f>IF(U58&lt;&gt;"",SUMPRODUCT((AF56:AF60=AF58)*(AA56:AA60=AA58)*(Y56:Y60&gt;Y58)),"")</f>
        <v>0</v>
      </c>
      <c r="AJ58" s="194">
        <f>IF(U58&lt;&gt;"",SUMPRODUCT((AF56:AF60=AF58)*(AA56:AA60=AA58)*(Y56:Y60=Y58)*(AC56:AC60&gt;AC58)),"")</f>
        <v>0</v>
      </c>
      <c r="AK58" s="194">
        <f>IF(U58&lt;&gt;"",SUMPRODUCT((AF56:AF60=AF58)*(AA56:AA60=AA58)*(Y56:Y60=Y58)*(AC56:AC60=AC58)*(AD56:AD60&gt;AD58)),"")</f>
        <v>0</v>
      </c>
      <c r="AL58" s="194">
        <f>IF(U58&lt;&gt;"",SUMPRODUCT((AF56:AF60=AF58)*(AA56:AA60=AA58)*(Y56:Y60=Y58)*(AC56:AC60=AC58)*(AD56:AD60=AD58)*(AE56:AE60&gt;AE58)),"")</f>
        <v>1</v>
      </c>
      <c r="AM58" s="194">
        <f>IF(U58&lt;&gt;"",SUM(AG58:AL58),"")</f>
        <v>2</v>
      </c>
      <c r="AN58" s="194" t="str">
        <f>IF(AO6&lt;&gt;"",SUMPRODUCT((AV4:AV7=AV6)*(AU4:AU7=AU6)*(AS4:AS7=AS6)*(AT4:AT7=AT6)),"")</f>
        <v/>
      </c>
      <c r="AO58" s="194" t="str">
        <f>IF(AND(AN58&lt;&gt;"",AN58&gt;1),AO6,"")</f>
        <v/>
      </c>
      <c r="AP58" s="194">
        <f>SUMPRODUCT((CZ3:CZ54=AO58)*(DC3:DC54=AO59)*(DD3:DD54="W"))+SUMPRODUCT((CZ3:CZ54=AO58)*(DC3:DC54=AO60)*(DD3:DD54="W"))+SUMPRODUCT((CZ3:CZ54=AO58)*(DC3:DC54=AO57)*(DD3:DD54="W"))+SUMPRODUCT((CZ3:CZ54=AO59)*(DC3:DC54=AO58)*(DE3:DE54="W"))+SUMPRODUCT((CZ3:CZ54=AO60)*(DC3:DC54=AO58)*(DE3:DE54="W"))+SUMPRODUCT((CZ3:CZ54=AO57)*(DC3:DC54=AO58)*(DE3:DE54="W"))</f>
        <v>0</v>
      </c>
      <c r="AQ58" s="194">
        <f>SUMPRODUCT((CZ3:CZ54=AO58)*(DC3:DC54=AO59)*(DD3:DD54="D"))+SUMPRODUCT((CZ3:CZ54=AO58)*(DC3:DC54=AO60)*(DD3:DD54="D"))+SUMPRODUCT((CZ3:CZ54=AO58)*(DC3:DC54=AO57)*(DD3:DD54="D"))+SUMPRODUCT((CZ3:CZ54=AO59)*(DC3:DC54=AO58)*(DD3:DD54="D"))+SUMPRODUCT((CZ3:CZ54=AO60)*(DC3:DC54=AO58)*(DD3:DD54="D"))+SUMPRODUCT((CZ3:CZ54=AO57)*(DC3:DC54=AO58)*(DD3:DD54="D"))</f>
        <v>0</v>
      </c>
      <c r="AR58" s="194">
        <f>SUMPRODUCT((CZ3:CZ54=AO58)*(DC3:DC54=AO59)*(DD3:DD54="L"))+SUMPRODUCT((CZ3:CZ54=AO58)*(DC3:DC54=AO60)*(DD3:DD54="L"))+SUMPRODUCT((CZ3:CZ54=AO58)*(DC3:DC54=AO57)*(DD3:DD54="L"))+SUMPRODUCT((CZ3:CZ54=AO59)*(DC3:DC54=AO58)*(DE3:DE54="L"))+SUMPRODUCT((CZ3:CZ54=AO60)*(DC3:DC54=AO58)*(DE3:DE54="L"))+SUMPRODUCT((CZ3:CZ54=AO57)*(DC3:DC54=AO58)*(DE3:DE54="L"))</f>
        <v>0</v>
      </c>
      <c r="AS58" s="194">
        <f>SUMPRODUCT((CZ3:CZ54=AO58)*(DC3:DC54=AO59)*DA3:DA54)+SUMPRODUCT((CZ3:CZ54=AO58)*(DC3:DC54=AO60)*DA3:DA54)+SUMPRODUCT((CZ3:CZ54=AO58)*(DC3:DC54=AO56)*DA3:DA54)+SUMPRODUCT((CZ3:CZ54=AO58)*(DC3:DC54=AO57)*DA3:DA54)+SUMPRODUCT((CZ3:CZ54=AO59)*(DC3:DC54=AO58)*DB3:DB54)+SUMPRODUCT((CZ3:CZ54=AO60)*(DC3:DC54=AO58)*DB3:DB54)+SUMPRODUCT((CZ3:CZ54=AO56)*(DC3:DC54=AO58)*DB3:DB54)+SUMPRODUCT((CZ3:CZ54=AO57)*(DC3:DC54=AO58)*DB3:DB54)</f>
        <v>0</v>
      </c>
      <c r="AT58" s="194">
        <f>SUMPRODUCT((CZ3:CZ54=AO58)*(DC3:DC54=AO59)*DB3:DB54)+SUMPRODUCT((CZ3:CZ54=AO58)*(DC3:DC54=AO60)*DB3:DB54)+SUMPRODUCT((CZ3:CZ54=AO58)*(DC3:DC54=AO56)*DB3:DB54)+SUMPRODUCT((CZ3:CZ54=AO58)*(DC3:DC54=AO57)*DB3:DB54)+SUMPRODUCT((CZ3:CZ54=AO59)*(DC3:DC54=AO58)*DA3:DA54)+SUMPRODUCT((CZ3:CZ54=AO60)*(DC3:DC54=AO58)*DA3:DA54)+SUMPRODUCT((CZ3:CZ54=AO56)*(DC3:DC54=AO58)*DA3:DA54)+SUMPRODUCT((CZ3:CZ54=AO57)*(DC3:DC54=AO58)*DA3:DA54)</f>
        <v>0</v>
      </c>
      <c r="AU58" s="194">
        <f>AS58-AT58+1000</f>
        <v>1000</v>
      </c>
      <c r="AV58" s="194" t="str">
        <f t="shared" si="103"/>
        <v/>
      </c>
      <c r="AW58" s="194" t="str">
        <f>IF(AO58&lt;&gt;"",VLOOKUP(AO58,B4:H52,7,FALSE),"")</f>
        <v/>
      </c>
      <c r="AX58" s="194" t="str">
        <f>IF(AO58&lt;&gt;"",VLOOKUP(AO58,B4:H52,5,FALSE),"")</f>
        <v/>
      </c>
      <c r="AY58" s="194" t="str">
        <f>IF(AO58&lt;&gt;"",VLOOKUP(AO58,B4:J52,9,FALSE),"")</f>
        <v/>
      </c>
      <c r="AZ58" s="194" t="str">
        <f t="shared" si="104"/>
        <v/>
      </c>
      <c r="BA58" s="194" t="str">
        <f>IF(AO58&lt;&gt;"",RANK(AZ58,AZ56:AZ59),"")</f>
        <v/>
      </c>
      <c r="BB58" s="194" t="str">
        <f>IF(AO58&lt;&gt;"",SUMPRODUCT((AZ56:AZ59=AZ58)*(AU56:AU59&gt;AU58)),"")</f>
        <v/>
      </c>
      <c r="BC58" s="194" t="str">
        <f>IF(AO58&lt;&gt;"",SUMPRODUCT((AZ56:AZ59=AZ58)*(AU56:AU59=AU58)*(AS56:AS59&gt;AS58)),"")</f>
        <v/>
      </c>
      <c r="BD58" s="194" t="str">
        <f>IF(AO58&lt;&gt;"",SUMPRODUCT((AZ56:AZ59=AZ58)*(AU56:AU59=AU58)*(AS56:AS59=AS58)*(AW56:AW59&gt;AW58)),"")</f>
        <v/>
      </c>
      <c r="BE58" s="194" t="str">
        <f>IF(AO58&lt;&gt;"",SUMPRODUCT((AZ56:AZ59=AZ58)*(AU56:AU59=AU58)*(AS56:AS59=AS58)*(AW56:AW59=AW58)*(AX56:AX59&gt;AX58)),"")</f>
        <v/>
      </c>
      <c r="BF58" s="194" t="str">
        <f>IF(AO58&lt;&gt;"",SUMPRODUCT((AZ56:AZ59=AZ58)*(AU56:AU59=AU58)*(AS56:AS59=AS58)*(AW56:AW59=AW58)*(AX56:AX59=AX58)*(AY56:AY59&gt;AY58)),"")</f>
        <v/>
      </c>
      <c r="BG58" s="194" t="str">
        <f t="shared" ref="BG58:BG59" si="105">IF(AO58&lt;&gt;"",SUM(BA58:BF58)+1,"")</f>
        <v/>
      </c>
      <c r="DR58" s="196" t="str">
        <f>Matches!H65</f>
        <v>Match 53 Winner</v>
      </c>
      <c r="DT58" s="196" t="str">
        <f>IF(ISERROR("Calculator!"&amp;VLOOKUP(DR58,Calculator!DR7:DS38,2,FALSE)),"Calculator!dq77","Calculator!"&amp;VLOOKUP(DR58,Calculator!DR7:DS38,2,FALSE))</f>
        <v>Calculator!dq77</v>
      </c>
      <c r="DW58" s="20"/>
      <c r="DX58" s="9">
        <v>52</v>
      </c>
      <c r="DY58" s="203">
        <f t="shared" si="13"/>
        <v>45837.666666666664</v>
      </c>
      <c r="DZ58" s="206">
        <v>45837.666666666664</v>
      </c>
      <c r="EA58" s="205">
        <f t="shared" si="74"/>
        <v>45837.666666666664</v>
      </c>
      <c r="EB58" s="206">
        <v>45837.666666666664</v>
      </c>
    </row>
    <row r="59" spans="1:133" x14ac:dyDescent="0.25">
      <c r="F59" s="194">
        <v>1</v>
      </c>
      <c r="G59" s="194">
        <v>1</v>
      </c>
      <c r="H59" s="194">
        <v>1</v>
      </c>
      <c r="I59" s="194">
        <f>IF(COUNTIF(I4:I7,4)=4,1,SUMPRODUCT((I4:I7=I7)*(H4:H7=H7)*(F4:F7&gt;F7))+1)</f>
        <v>1</v>
      </c>
      <c r="S59" s="194">
        <v>1</v>
      </c>
      <c r="T59" s="194">
        <f>IF(U7&lt;&gt;"",SUMPRODUCT((AB4:AB7=AB7)*(AA4:AA7=AA7)*(Y4:Y7=Y7)*(Z4:Z7=Z7)),"")</f>
        <v>4</v>
      </c>
      <c r="U59" s="194" t="str">
        <f>IF(AND(T59&lt;&gt;"",T59&gt;1),U7,"")</f>
        <v>Palmeiras</v>
      </c>
      <c r="V59" s="194">
        <f>SUMPRODUCT((CZ3:CZ54=U59)*(DC3:DC54=U60)*(DD3:DD54="W"))+SUMPRODUCT((CZ3:CZ54=U59)*(DC3:DC54=U56)*(DD3:DD54="W"))+SUMPRODUCT((CZ3:CZ54=U59)*(DC3:DC54=U57)*(DD3:DD54="W"))+SUMPRODUCT((CZ3:CZ54=U59)*(DC3:DC54=U58)*(DD3:DD54="W"))+SUMPRODUCT((CZ3:CZ54=U60)*(DC3:DC54=U59)*(DE3:DE54="W"))+SUMPRODUCT((CZ3:CZ54=U56)*(DC3:DC54=U59)*(DE3:DE54="W"))+SUMPRODUCT((CZ3:CZ54=U57)*(DC3:DC54=U59)*(DE3:DE54="W"))+SUMPRODUCT((CZ3:CZ54=U58)*(DC3:DC54=U59)*(DE3:DE54="W"))</f>
        <v>0</v>
      </c>
      <c r="W59" s="194">
        <f>SUMPRODUCT((CZ3:CZ54=U59)*(DC3:DC54=U60)*(DD3:DD54="D"))+SUMPRODUCT((CZ3:CZ54=U59)*(DC3:DC54=U56)*(DD3:DD54="D"))+SUMPRODUCT((CZ3:CZ54=U59)*(DC3:DC54=U57)*(DD3:DD54="D"))+SUMPRODUCT((CZ3:CZ54=U59)*(DC3:DC54=U58)*(DD3:DD54="D"))+SUMPRODUCT((CZ3:CZ54=U60)*(DC3:DC54=U59)*(DD3:DD54="D"))+SUMPRODUCT((CZ3:CZ54=U56)*(DC3:DC54=U59)*(DD3:DD54="D"))+SUMPRODUCT((CZ3:CZ54=U57)*(DC3:DC54=U59)*(DD3:DD54="D"))+SUMPRODUCT((CZ3:CZ54=U58)*(DC3:DC54=U59)*(DD3:DD54="D"))</f>
        <v>0</v>
      </c>
      <c r="X59" s="194">
        <f>SUMPRODUCT((CZ3:CZ54=U59)*(DC3:DC54=U60)*(DD3:DD54="L"))+SUMPRODUCT((CZ3:CZ54=U59)*(DC3:DC54=U56)*(DD3:DD54="L"))+SUMPRODUCT((CZ3:CZ54=U59)*(DC3:DC54=U57)*(DD3:DD54="L"))+SUMPRODUCT((CZ3:CZ54=U59)*(DC3:DC54=U58)*(DD3:DD54="L"))+SUMPRODUCT((CZ3:CZ54=U60)*(DC3:DC54=U59)*(DE3:DE54="L"))+SUMPRODUCT((CZ3:CZ54=U56)*(DC3:DC54=U59)*(DE3:DE54="L"))+SUMPRODUCT((CZ3:CZ54=U57)*(DC3:DC54=U59)*(DE3:DE54="L"))+SUMPRODUCT((CZ3:CZ54=U58)*(DC3:DC54=U59)*(DE3:DE54="L"))</f>
        <v>0</v>
      </c>
      <c r="Y59" s="194">
        <f>SUMPRODUCT((CZ3:CZ54=U59)*(DC3:DC54=U60)*DA3:DA54)+SUMPRODUCT((CZ3:CZ54=U59)*(DC3:DC54=U56)*DA3:DA54)+SUMPRODUCT((CZ3:CZ54=U59)*(DC3:DC54=U57)*DA3:DA54)+SUMPRODUCT((CZ3:CZ54=U59)*(DC3:DC54=U58)*DA3:DA54)+SUMPRODUCT((CZ3:CZ54=U60)*(DC3:DC54=U59)*DB3:DB54)+SUMPRODUCT((CZ3:CZ54=U56)*(DC3:DC54=U59)*DB3:DB54)+SUMPRODUCT((CZ3:CZ54=U57)*(DC3:DC54=U59)*DB3:DB54)+SUMPRODUCT((CZ3:CZ54=U58)*(DC3:DC54=U59)*DB3:DB54)</f>
        <v>0</v>
      </c>
      <c r="Z59" s="194">
        <f>SUMPRODUCT((CZ3:CZ54=U59)*(DC3:DC54=U60)*DB3:DB54)+SUMPRODUCT((CZ3:CZ54=U59)*(DC3:DC54=U56)*DB3:DB54)+SUMPRODUCT((CZ3:CZ54=U59)*(DC3:DC54=U57)*DB3:DB54)+SUMPRODUCT((CZ3:CZ54=U59)*(DC3:DC54=U58)*DB3:DB54)+SUMPRODUCT((CZ3:CZ54=U60)*(DC3:DC54=U59)*DA3:DA54)+SUMPRODUCT((CZ3:CZ54=U56)*(DC3:DC54=U59)*DA3:DA54)+SUMPRODUCT((CZ3:CZ54=U57)*(DC3:DC54=U59)*DA3:DA54)+SUMPRODUCT((CZ3:CZ54=U58)*(DC3:DC54=U59)*DA3:DA54)</f>
        <v>0</v>
      </c>
      <c r="AA59" s="194">
        <f>Y59-Z59+1000</f>
        <v>1000</v>
      </c>
      <c r="AB59" s="194">
        <f t="shared" si="101"/>
        <v>0</v>
      </c>
      <c r="AC59" s="194">
        <f>IF(U59&lt;&gt;"",VLOOKUP(U59,B4:H52,7,FALSE),"")</f>
        <v>1000</v>
      </c>
      <c r="AD59" s="194">
        <f>IF(U59&lt;&gt;"",VLOOKUP(U59,B4:H52,5,FALSE),"")</f>
        <v>0</v>
      </c>
      <c r="AE59" s="194">
        <f>IF(U59&lt;&gt;"",VLOOKUP(U59,B4:J52,9,FALSE),"")</f>
        <v>27</v>
      </c>
      <c r="AF59" s="194">
        <f t="shared" si="102"/>
        <v>0</v>
      </c>
      <c r="AG59" s="194">
        <f>IF(U59&lt;&gt;"",RANK(AF59,AF56:AF60),"")</f>
        <v>1</v>
      </c>
      <c r="AH59" s="194">
        <f>IF(U59&lt;&gt;"",SUMPRODUCT((AF56:AF60=AF59)*(AA56:AA60&gt;AA59)),"")</f>
        <v>0</v>
      </c>
      <c r="AI59" s="194">
        <f>IF(U59&lt;&gt;"",SUMPRODUCT((AF56:AF60=AF59)*(AA56:AA60=AA59)*(Y56:Y60&gt;Y59)),"")</f>
        <v>0</v>
      </c>
      <c r="AJ59" s="194">
        <f>IF(U59&lt;&gt;"",SUMPRODUCT((AF56:AF60=AF59)*(AA56:AA60=AA59)*(Y56:Y60=Y59)*(AC56:AC60&gt;AC59)),"")</f>
        <v>0</v>
      </c>
      <c r="AK59" s="194">
        <f>IF(U59&lt;&gt;"",SUMPRODUCT((AF56:AF60=AF59)*(AA56:AA60=AA59)*(Y56:Y60=Y59)*(AC56:AC60=AC59)*(AD56:AD60&gt;AD59)),"")</f>
        <v>0</v>
      </c>
      <c r="AL59" s="194">
        <f>IF(U59&lt;&gt;"",SUMPRODUCT((AF56:AF60=AF59)*(AA56:AA60=AA59)*(Y56:Y60=Y59)*(AC56:AC60=AC59)*(AD56:AD60=AD59)*(AE56:AE60&gt;AE59)),"")</f>
        <v>0</v>
      </c>
      <c r="AM59" s="194">
        <f>IF(U59&lt;&gt;"",SUM(AG59:AL59),"")</f>
        <v>1</v>
      </c>
      <c r="AN59" s="194" t="str">
        <f>IF(AO7&lt;&gt;"",SUMPRODUCT((AV4:AV7=AV7)*(AU4:AU7=AU7)*(AS4:AS7=AS7)*(AT4:AT7=AT7)),"")</f>
        <v/>
      </c>
      <c r="AO59" s="194" t="str">
        <f>IF(AND(AN59&lt;&gt;"",AN59&gt;1),AO7,"")</f>
        <v/>
      </c>
      <c r="AP59" s="194">
        <f>SUMPRODUCT((CZ3:CZ54=AO59)*(DC3:DC54=AO60)*(DD3:DD54="W"))+SUMPRODUCT((CZ3:CZ54=AO59)*(DC3:DC54=AO57)*(DD3:DD54="W"))+SUMPRODUCT((CZ3:CZ54=AO59)*(DC3:DC54=AO58)*(DD3:DD54="W"))+SUMPRODUCT((CZ3:CZ54=AO60)*(DC3:DC54=AO59)*(DE3:DE54="W"))+SUMPRODUCT((CZ3:CZ54=AO57)*(DC3:DC54=AO59)*(DE3:DE54="W"))+SUMPRODUCT((CZ3:CZ54=AO58)*(DC3:DC54=AO59)*(DE3:DE54="W"))</f>
        <v>0</v>
      </c>
      <c r="AQ59" s="194">
        <f>SUMPRODUCT((CZ3:CZ54=AO59)*(DC3:DC54=AO60)*(DD3:DD54="D"))+SUMPRODUCT((CZ3:CZ54=AO59)*(DC3:DC54=AO57)*(DD3:DD54="D"))+SUMPRODUCT((CZ3:CZ54=AO59)*(DC3:DC54=AO58)*(DD3:DD54="D"))+SUMPRODUCT((CZ3:CZ54=AO60)*(DC3:DC54=AO59)*(DD3:DD54="D"))+SUMPRODUCT((CZ3:CZ54=AO57)*(DC3:DC54=AO59)*(DD3:DD54="D"))+SUMPRODUCT((CZ3:CZ54=AO58)*(DC3:DC54=AO59)*(DD3:DD54="D"))</f>
        <v>0</v>
      </c>
      <c r="AR59" s="194">
        <f>SUMPRODUCT((CZ3:CZ54=AO59)*(DC3:DC54=AO60)*(DD3:DD54="L"))+SUMPRODUCT((CZ3:CZ54=AO59)*(DC3:DC54=AO57)*(DD3:DD54="L"))+SUMPRODUCT((CZ3:CZ54=AO59)*(DC3:DC54=AO58)*(DD3:DD54="L"))+SUMPRODUCT((CZ3:CZ54=AO60)*(DC3:DC54=AO59)*(DE3:DE54="L"))+SUMPRODUCT((CZ3:CZ54=AO57)*(DC3:DC54=AO59)*(DE3:DE54="L"))+SUMPRODUCT((CZ3:CZ54=AO58)*(DC3:DC54=AO59)*(DE3:DE54="L"))</f>
        <v>0</v>
      </c>
      <c r="AS59" s="194">
        <f>SUMPRODUCT((CZ3:CZ54=AO59)*(DC3:DC54=AO60)*DA3:DA54)+SUMPRODUCT((CZ3:CZ54=AO59)*(DC3:DC54=AO56)*DA3:DA54)+SUMPRODUCT((CZ3:CZ54=AO59)*(DC3:DC54=AO57)*DA3:DA54)+SUMPRODUCT((CZ3:CZ54=AO59)*(DC3:DC54=AO58)*DA3:DA54)+SUMPRODUCT((CZ3:CZ54=AO60)*(DC3:DC54=AO59)*DB3:DB54)+SUMPRODUCT((CZ3:CZ54=AO56)*(DC3:DC54=AO59)*DB3:DB54)+SUMPRODUCT((CZ3:CZ54=AO57)*(DC3:DC54=AO59)*DB3:DB54)+SUMPRODUCT((CZ3:CZ54=AO58)*(DC3:DC54=AO59)*DB3:DB54)</f>
        <v>0</v>
      </c>
      <c r="AT59" s="194">
        <f>SUMPRODUCT((CZ3:CZ54=AO59)*(DC3:DC54=AO60)*DB3:DB54)+SUMPRODUCT((CZ3:CZ54=AO59)*(DC3:DC54=AO56)*DB3:DB54)+SUMPRODUCT((CZ3:CZ54=AO59)*(DC3:DC54=AO57)*DB3:DB54)+SUMPRODUCT((CZ3:CZ54=AO59)*(DC3:DC54=AO58)*DB3:DB54)+SUMPRODUCT((CZ3:CZ54=AO60)*(DC3:DC54=AO59)*DA3:DA54)+SUMPRODUCT((CZ3:CZ54=AO56)*(DC3:DC54=AO59)*DA3:DA54)+SUMPRODUCT((CZ3:CZ54=AO57)*(DC3:DC54=AO59)*DA3:DA54)+SUMPRODUCT((CZ3:CZ54=AO58)*(DC3:DC54=AO59)*DA3:DA54)</f>
        <v>0</v>
      </c>
      <c r="AU59" s="194">
        <f>AS59-AT59+1000</f>
        <v>1000</v>
      </c>
      <c r="AV59" s="194" t="str">
        <f t="shared" si="103"/>
        <v/>
      </c>
      <c r="AW59" s="194" t="str">
        <f>IF(AO59&lt;&gt;"",VLOOKUP(AO59,B4:H52,7,FALSE),"")</f>
        <v/>
      </c>
      <c r="AX59" s="194" t="str">
        <f>IF(AO59&lt;&gt;"",VLOOKUP(AO59,B4:H52,5,FALSE),"")</f>
        <v/>
      </c>
      <c r="AY59" s="194" t="str">
        <f>IF(AO59&lt;&gt;"",VLOOKUP(AO59,B4:J52,9,FALSE),"")</f>
        <v/>
      </c>
      <c r="AZ59" s="194" t="str">
        <f t="shared" si="104"/>
        <v/>
      </c>
      <c r="BA59" s="194" t="str">
        <f>IF(AO59&lt;&gt;"",RANK(AZ59,AZ56:AZ59),"")</f>
        <v/>
      </c>
      <c r="BB59" s="194" t="str">
        <f>IF(AO59&lt;&gt;"",SUMPRODUCT((AZ56:AZ59=AZ59)*(AU56:AU59&gt;AU59)),"")</f>
        <v/>
      </c>
      <c r="BC59" s="194" t="str">
        <f>IF(AO59&lt;&gt;"",SUMPRODUCT((AZ56:AZ59=AZ59)*(AU56:AU59=AU59)*(AS56:AS59&gt;AS59)),"")</f>
        <v/>
      </c>
      <c r="BD59" s="194" t="str">
        <f>IF(AO59&lt;&gt;"",SUMPRODUCT((AZ56:AZ59=AZ59)*(AU56:AU59=AU59)*(AS56:AS59=AS59)*(AW56:AW59&gt;AW59)),"")</f>
        <v/>
      </c>
      <c r="BE59" s="194" t="str">
        <f>IF(AO59&lt;&gt;"",SUMPRODUCT((AZ56:AZ59=AZ59)*(AU56:AU59=AU59)*(AS56:AS59=AS59)*(AW56:AW59=AW59)*(AX56:AX59&gt;AX59)),"")</f>
        <v/>
      </c>
      <c r="BF59" s="194" t="str">
        <f>IF(AO59&lt;&gt;"",SUMPRODUCT((AZ56:AZ59=AZ59)*(AU56:AU59=AU59)*(AS56:AS59=AS59)*(AW56:AW59=AW59)*(AX56:AX59=AX59)*(AY56:AY59&gt;AY59)),"")</f>
        <v/>
      </c>
      <c r="BG59" s="194" t="str">
        <f t="shared" si="105"/>
        <v/>
      </c>
      <c r="DR59" s="196" t="str">
        <f>Matches!H66</f>
        <v>Match 54 Winner</v>
      </c>
      <c r="DT59" s="196" t="str">
        <f>IF(ISERROR("Calculator!"&amp;VLOOKUP(DR59,Calculator!DR7:DS38,2,FALSE)),"Calculator!dq77","Calculator!"&amp;VLOOKUP(DR59,Calculator!DR7:DS38,2,FALSE))</f>
        <v>Calculator!dq77</v>
      </c>
      <c r="DW59" s="20"/>
      <c r="DX59" s="9">
        <v>53</v>
      </c>
      <c r="DY59" s="203">
        <f t="shared" si="13"/>
        <v>45838.625</v>
      </c>
      <c r="DZ59" s="206">
        <v>45838.625</v>
      </c>
      <c r="EA59" s="205">
        <f t="shared" si="74"/>
        <v>45838.625</v>
      </c>
      <c r="EB59" s="206">
        <v>45838.625</v>
      </c>
    </row>
    <row r="60" spans="1:133" x14ac:dyDescent="0.25">
      <c r="DR60" s="196" t="str">
        <f>Matches!H73</f>
        <v>Match 52 Winner</v>
      </c>
      <c r="DT60" s="196" t="str">
        <f>IF(ISERROR("Calculator!"&amp;VLOOKUP(DR60,Calculator!DR7:DS38,2,FALSE)),"Calculator!dq77","Calculator!"&amp;VLOOKUP(DR60,Calculator!DR7:DS38,2,FALSE))</f>
        <v>Calculator!dq77</v>
      </c>
      <c r="DW60" s="20"/>
      <c r="DX60" s="9">
        <v>54</v>
      </c>
      <c r="DY60" s="203">
        <f t="shared" si="13"/>
        <v>45838.875</v>
      </c>
      <c r="DZ60" s="206">
        <v>45838.875</v>
      </c>
      <c r="EA60" s="205">
        <f t="shared" si="74"/>
        <v>45838.875</v>
      </c>
      <c r="EB60" s="206">
        <v>45838.875</v>
      </c>
    </row>
    <row r="61" spans="1:133" x14ac:dyDescent="0.25">
      <c r="DR61" s="196" t="str">
        <f>Matches!H74</f>
        <v>Match 51 Winner</v>
      </c>
      <c r="DT61" s="196" t="str">
        <f>IF(ISERROR("Calculator!"&amp;VLOOKUP(DR61,Calculator!DR7:DS38,2,FALSE)),"Calculator!dq77","Calculator!"&amp;VLOOKUP(DR61,Calculator!DR7:DS38,2,FALSE))</f>
        <v>Calculator!dq77</v>
      </c>
      <c r="DW61" s="20"/>
      <c r="DX61" s="9">
        <v>55</v>
      </c>
      <c r="DY61" s="203">
        <f t="shared" si="13"/>
        <v>45839.625</v>
      </c>
      <c r="DZ61" s="206">
        <v>45839.625</v>
      </c>
      <c r="EA61" s="205">
        <f t="shared" si="74"/>
        <v>45839.625</v>
      </c>
      <c r="EB61" s="206">
        <v>45839.625</v>
      </c>
    </row>
    <row r="62" spans="1:133" x14ac:dyDescent="0.25">
      <c r="T62" s="194">
        <f>IF(U63="",SUM(AG11:AL11),IF(U64="",SUM(AG12:AL12),IF(U65="",SUM(AG13:AL13),IF(U66="",SUM(AG14:AL14),0))))</f>
        <v>0</v>
      </c>
      <c r="AN62" s="194">
        <f>IF(AO64="",SUM(BA12:BF12),IF(AO65="",SUM(BA13:BF13),IF(AO66="",SUM(BA14:BF14),0)))</f>
        <v>0</v>
      </c>
      <c r="DR62" s="196" t="str">
        <f>Matches!H81</f>
        <v>Match 55 Winner</v>
      </c>
      <c r="DT62" s="196" t="str">
        <f>IF(ISERROR("Calculator!"&amp;VLOOKUP(DR62,Calculator!DR7:DS38,2,FALSE)),"Calculator!dq77","Calculator!"&amp;VLOOKUP(DR62,Calculator!DR7:DS38,2,FALSE))</f>
        <v>Calculator!dq77</v>
      </c>
      <c r="DW62" s="20"/>
      <c r="DX62" s="9">
        <v>56</v>
      </c>
      <c r="DY62" s="203">
        <f t="shared" si="13"/>
        <v>45839.875</v>
      </c>
      <c r="DZ62" s="206">
        <v>45839.875</v>
      </c>
      <c r="EA62" s="205">
        <f t="shared" si="74"/>
        <v>45839.875</v>
      </c>
      <c r="EB62" s="206">
        <v>45839.875</v>
      </c>
    </row>
    <row r="63" spans="1:133" x14ac:dyDescent="0.25">
      <c r="F63" s="194">
        <v>1</v>
      </c>
      <c r="G63" s="194">
        <v>1</v>
      </c>
      <c r="H63" s="194">
        <v>1</v>
      </c>
      <c r="I63" s="194">
        <f>IF(COUNTIF(I11:I14,4)=4,1,SUMPRODUCT((I11:I14=I11)*(H11:H14=H11)*(F11:F14&gt;F11))+1)</f>
        <v>1</v>
      </c>
      <c r="S63" s="194">
        <v>4</v>
      </c>
      <c r="T63" s="194">
        <f>IF(U11&lt;&gt;"",SUMPRODUCT((AB11:AB14=AB11)*(AA11:AA14=AA11)*(Y11:Y14=Y11)*(Z11:Z14=Z11)),"")</f>
        <v>4</v>
      </c>
      <c r="U63" s="194" t="str">
        <f>IF(AND(T63&lt;&gt;"",T63&gt;1),U11,"")</f>
        <v>Seattle Sounders</v>
      </c>
      <c r="V63" s="194">
        <f>SUMPRODUCT((CZ3:CZ54=U63)*(DC3:DC54=U64)*(DD3:DD54="W"))+SUMPRODUCT((CZ3:CZ54=U63)*(DC3:DC54=U65)*(DD3:DD54="W"))+SUMPRODUCT((CZ3:CZ54=U63)*(DC3:DC54=U66)*(DD3:DD54="W"))+SUMPRODUCT((CZ3:CZ54=U63)*(DC3:DC54=U67)*(DD3:DD54="W"))+SUMPRODUCT((CZ3:CZ54=U64)*(DC3:DC54=U63)*(DE3:DE54="W"))+SUMPRODUCT((CZ3:CZ54=U65)*(DC3:DC54=U63)*(DE3:DE54="W"))+SUMPRODUCT((CZ3:CZ54=U66)*(DC3:DC54=U63)*(DE3:DE54="W"))+SUMPRODUCT((CZ3:CZ54=U67)*(DC3:DC54=U63)*(DE3:DE54="W"))</f>
        <v>0</v>
      </c>
      <c r="W63" s="194">
        <f>SUMPRODUCT((CZ3:CZ54=U63)*(DC3:DC54=U64)*(DD3:DD54="D"))+SUMPRODUCT((CZ3:CZ54=U63)*(DC3:DC54=U65)*(DD3:DD54="D"))+SUMPRODUCT((CZ3:CZ54=U63)*(DC3:DC54=U66)*(DD3:DD54="D"))+SUMPRODUCT((CZ3:CZ54=U63)*(DC3:DC54=U67)*(DD3:DD54="D"))+SUMPRODUCT((CZ3:CZ54=U64)*(DC3:DC54=U63)*(DD3:DD54="D"))+SUMPRODUCT((CZ3:CZ54=U65)*(DC3:DC54=U63)*(DD3:DD54="D"))+SUMPRODUCT((CZ3:CZ54=U66)*(DC3:DC54=U63)*(DD3:DD54="D"))+SUMPRODUCT((CZ3:CZ54=U67)*(DC3:DC54=U63)*(DD3:DD54="D"))</f>
        <v>0</v>
      </c>
      <c r="X63" s="194">
        <f>SUMPRODUCT((CZ3:CZ54=U63)*(DC3:DC54=U64)*(DD3:DD54="L"))+SUMPRODUCT((CZ3:CZ54=U63)*(DC3:DC54=U65)*(DD3:DD54="L"))+SUMPRODUCT((CZ3:CZ54=U63)*(DC3:DC54=U66)*(DD3:DD54="L"))+SUMPRODUCT((CZ3:CZ54=U63)*(DC3:DC54=U67)*(DD3:DD54="L"))+SUMPRODUCT((CZ3:CZ54=U64)*(DC3:DC54=U63)*(DE3:DE54="L"))+SUMPRODUCT((CZ3:CZ54=U65)*(DC3:DC54=U63)*(DE3:DE54="L"))+SUMPRODUCT((CZ3:CZ54=U66)*(DC3:DC54=U63)*(DE3:DE54="L"))+SUMPRODUCT((CZ3:CZ54=U67)*(DC3:DC54=U63)*(DE3:DE54="L"))</f>
        <v>0</v>
      </c>
      <c r="Y63" s="194">
        <f>SUMPRODUCT((CZ3:CZ54=U63)*(DC3:DC54=U64)*DA3:DA54)+SUMPRODUCT((CZ3:CZ54=U63)*(DC3:DC54=U65)*DA3:DA54)+SUMPRODUCT((CZ3:CZ54=U63)*(DC3:DC54=U66)*DA3:DA54)+SUMPRODUCT((CZ3:CZ54=U63)*(DC3:DC54=U67)*DA3:DA54)+SUMPRODUCT((CZ3:CZ54=U64)*(DC3:DC54=U63)*DB3:DB54)+SUMPRODUCT((CZ3:CZ54=U65)*(DC3:DC54=U63)*DB3:DB54)+SUMPRODUCT((CZ3:CZ54=U66)*(DC3:DC54=U63)*DB3:DB54)+SUMPRODUCT((CZ3:CZ54=U67)*(DC3:DC54=U63)*DB3:DB54)</f>
        <v>0</v>
      </c>
      <c r="Z63" s="194">
        <f>SUMPRODUCT((CZ3:CZ54=U63)*(DC3:DC54=U64)*DB3:DB54)+SUMPRODUCT((CZ3:CZ54=U63)*(DC3:DC54=U65)*DB3:DB54)+SUMPRODUCT((CZ3:CZ54=U63)*(DC3:DC54=U66)*DB3:DB54)+SUMPRODUCT((CZ3:CZ54=U63)*(DC3:DC54=U67)*DB3:DB54)+SUMPRODUCT((CZ3:CZ54=U64)*(DC3:DC54=U63)*DA3:DA54)+SUMPRODUCT((CZ3:CZ54=U65)*(DC3:DC54=U63)*DA3:DA54)+SUMPRODUCT((CZ3:CZ54=U66)*(DC3:DC54=U63)*DA3:DA54)+SUMPRODUCT((CZ3:CZ54=U67)*(DC3:DC54=U63)*DA3:DA54)</f>
        <v>0</v>
      </c>
      <c r="AA63" s="194">
        <f>Y63-Z63+1000</f>
        <v>1000</v>
      </c>
      <c r="AB63" s="194">
        <f t="shared" ref="AB63:AB66" si="106">IF(U63&lt;&gt;"",V63*3+W63*1,"")</f>
        <v>0</v>
      </c>
      <c r="AC63" s="194">
        <f>IF(U63&lt;&gt;"",VLOOKUP(U63,B4:H52,7,FALSE),"")</f>
        <v>1000</v>
      </c>
      <c r="AD63" s="194">
        <f>IF(U63&lt;&gt;"",VLOOKUP(U63,B4:H52,5,FALSE),"")</f>
        <v>0</v>
      </c>
      <c r="AE63" s="194">
        <f>IF(U63&lt;&gt;"",VLOOKUP(U63,B4:J52,9,FALSE),"")</f>
        <v>7</v>
      </c>
      <c r="AF63" s="194">
        <f>AB63</f>
        <v>0</v>
      </c>
      <c r="AG63" s="194">
        <f>IF(U63&lt;&gt;"",RANK(AF63,AF63:AF66),"")</f>
        <v>1</v>
      </c>
      <c r="AH63" s="194">
        <f>IF(U63&lt;&gt;"",SUMPRODUCT((AF63:AF66=AF63)*(AA63:AA66&gt;AA63)),"")</f>
        <v>0</v>
      </c>
      <c r="AI63" s="194">
        <f>IF(U63&lt;&gt;"",SUMPRODUCT((AF63:AF66=AF63)*(AA63:AA66=AA63)*(Y63:Y66&gt;Y63)),"")</f>
        <v>0</v>
      </c>
      <c r="AJ63" s="194">
        <f>IF(U63&lt;&gt;"",SUMPRODUCT((AF63:AF66=AF63)*(AA63:AA66=AA63)*(Y63:Y66=Y63)*(AC63:AC66&gt;AC63)),"")</f>
        <v>0</v>
      </c>
      <c r="AK63" s="194">
        <f>IF(U63&lt;&gt;"",SUMPRODUCT((AF63:AF66=AF63)*(AA63:AA66=AA63)*(Y63:Y66=Y63)*(AC63:AC66=AC63)*(AD63:AD66&gt;AD63)),"")</f>
        <v>0</v>
      </c>
      <c r="AL63" s="194">
        <f>IF(U63&lt;&gt;"",SUMPRODUCT((AF63:AF66=AF63)*(AA63:AA66=AA63)*(Y63:Y66=Y63)*(AC63:AC66=AC63)*(AD63:AD66=AD63)*(AE63:AE66&gt;AE63)),"")</f>
        <v>3</v>
      </c>
      <c r="AM63" s="194">
        <f>IF(U63&lt;&gt;"",SUM(AG63:AL63),"")</f>
        <v>4</v>
      </c>
      <c r="DR63" s="196" t="str">
        <f>Matches!H82</f>
        <v>Match 56 Winner</v>
      </c>
      <c r="DT63" s="196" t="str">
        <f>IF(ISERROR("Calculator!"&amp;VLOOKUP(DR63,Calculator!DR7:DS38,2,FALSE)),"Calculator!dq77","Calculator!"&amp;VLOOKUP(DR63,Calculator!DR7:DS38,2,FALSE))</f>
        <v>Calculator!dq77</v>
      </c>
      <c r="DW63" s="20"/>
      <c r="DX63" s="9">
        <v>57</v>
      </c>
      <c r="DY63" s="203">
        <f t="shared" si="13"/>
        <v>45842.625</v>
      </c>
      <c r="DZ63" s="206">
        <v>45842.625</v>
      </c>
      <c r="EA63" s="205">
        <f t="shared" si="74"/>
        <v>45842.625</v>
      </c>
      <c r="EB63" s="206">
        <v>45842.625</v>
      </c>
    </row>
    <row r="64" spans="1:133" x14ac:dyDescent="0.25">
      <c r="F64" s="194">
        <v>1</v>
      </c>
      <c r="G64" s="194">
        <v>1</v>
      </c>
      <c r="H64" s="194">
        <v>1</v>
      </c>
      <c r="I64" s="194">
        <f>IF(COUNTIF(I11:I14,4)=4,1,SUMPRODUCT((I11:I14=I12)*(H11:H14=H12)*(F11:F14&gt;F12))+1)</f>
        <v>1</v>
      </c>
      <c r="S64" s="194">
        <v>3</v>
      </c>
      <c r="T64" s="194">
        <f>IF(U12&lt;&gt;"",SUMPRODUCT((AB11:AB14=AB12)*(AA11:AA14=AA12)*(Y11:Y14=Y12)*(Z11:Z14=Z12)),"")</f>
        <v>4</v>
      </c>
      <c r="U64" s="194" t="str">
        <f>IF(AND(T64&lt;&gt;"",T64&gt;1),U12,"")</f>
        <v>Botafogo</v>
      </c>
      <c r="V64" s="194">
        <f>SUMPRODUCT((CZ3:CZ54=U64)*(DC3:DC54=U65)*(DD3:DD54="W"))+SUMPRODUCT((CZ3:CZ54=U64)*(DC3:DC54=U66)*(DD3:DD54="W"))+SUMPRODUCT((CZ3:CZ54=U64)*(DC3:DC54=U67)*(DD3:DD54="W"))+SUMPRODUCT((CZ3:CZ54=U64)*(DC3:DC54=U63)*(DD3:DD54="W"))+SUMPRODUCT((CZ3:CZ54=U65)*(DC3:DC54=U64)*(DE3:DE54="W"))+SUMPRODUCT((CZ3:CZ54=U66)*(DC3:DC54=U64)*(DE3:DE54="W"))+SUMPRODUCT((CZ3:CZ54=U67)*(DC3:DC54=U64)*(DE3:DE54="W"))+SUMPRODUCT((CZ3:CZ54=U63)*(DC3:DC54=U64)*(DE3:DE54="W"))</f>
        <v>0</v>
      </c>
      <c r="W64" s="194">
        <f>SUMPRODUCT((CZ3:CZ54=U64)*(DC3:DC54=U65)*(DD3:DD54="D"))+SUMPRODUCT((CZ3:CZ54=U64)*(DC3:DC54=U66)*(DD3:DD54="D"))+SUMPRODUCT((CZ3:CZ54=U64)*(DC3:DC54=U67)*(DD3:DD54="D"))+SUMPRODUCT((CZ3:CZ54=U64)*(DC3:DC54=U63)*(DD3:DD54="D"))+SUMPRODUCT((CZ3:CZ54=U65)*(DC3:DC54=U64)*(DD3:DD54="D"))+SUMPRODUCT((CZ3:CZ54=U66)*(DC3:DC54=U64)*(DD3:DD54="D"))+SUMPRODUCT((CZ3:CZ54=U67)*(DC3:DC54=U64)*(DD3:DD54="D"))+SUMPRODUCT((CZ3:CZ54=U63)*(DC3:DC54=U64)*(DD3:DD54="D"))</f>
        <v>0</v>
      </c>
      <c r="X64" s="194">
        <f>SUMPRODUCT((CZ3:CZ54=U64)*(DC3:DC54=U65)*(DD3:DD54="L"))+SUMPRODUCT((CZ3:CZ54=U64)*(DC3:DC54=U66)*(DD3:DD54="L"))+SUMPRODUCT((CZ3:CZ54=U64)*(DC3:DC54=U67)*(DD3:DD54="L"))+SUMPRODUCT((CZ3:CZ54=U64)*(DC3:DC54=U63)*(DD3:DD54="L"))+SUMPRODUCT((CZ3:CZ54=U65)*(DC3:DC54=U64)*(DE3:DE54="L"))+SUMPRODUCT((CZ3:CZ54=U66)*(DC3:DC54=U64)*(DE3:DE54="L"))+SUMPRODUCT((CZ3:CZ54=U67)*(DC3:DC54=U64)*(DE3:DE54="L"))+SUMPRODUCT((CZ3:CZ54=U63)*(DC3:DC54=U64)*(DE3:DE54="L"))</f>
        <v>0</v>
      </c>
      <c r="Y64" s="194">
        <f>SUMPRODUCT((CZ3:CZ54=U64)*(DC3:DC54=U65)*DA3:DA54)+SUMPRODUCT((CZ3:CZ54=U64)*(DC3:DC54=U66)*DA3:DA54)+SUMPRODUCT((CZ3:CZ54=U64)*(DC3:DC54=U67)*DA3:DA54)+SUMPRODUCT((CZ3:CZ54=U64)*(DC3:DC54=U63)*DA3:DA54)+SUMPRODUCT((CZ3:CZ54=U65)*(DC3:DC54=U64)*DB3:DB54)+SUMPRODUCT((CZ3:CZ54=U66)*(DC3:DC54=U64)*DB3:DB54)+SUMPRODUCT((CZ3:CZ54=U67)*(DC3:DC54=U64)*DB3:DB54)+SUMPRODUCT((CZ3:CZ54=U63)*(DC3:DC54=U64)*DB3:DB54)</f>
        <v>0</v>
      </c>
      <c r="Z64" s="194">
        <f>SUMPRODUCT((CZ3:CZ54=U64)*(DC3:DC54=U65)*DB3:DB54)+SUMPRODUCT((CZ3:CZ54=U64)*(DC3:DC54=U66)*DB3:DB54)+SUMPRODUCT((CZ3:CZ54=U64)*(DC3:DC54=U67)*DB3:DB54)+SUMPRODUCT((CZ3:CZ54=U64)*(DC3:DC54=U63)*DB3:DB54)+SUMPRODUCT((CZ3:CZ54=U65)*(DC3:DC54=U64)*DA3:DA54)+SUMPRODUCT((CZ3:CZ54=U66)*(DC3:DC54=U64)*DA3:DA54)+SUMPRODUCT((CZ3:CZ54=U67)*(DC3:DC54=U64)*DA3:DA54)+SUMPRODUCT((CZ3:CZ54=U63)*(DC3:DC54=U64)*DA3:DA54)</f>
        <v>0</v>
      </c>
      <c r="AA64" s="194">
        <f>Y64-Z64+1000</f>
        <v>1000</v>
      </c>
      <c r="AB64" s="194">
        <f t="shared" si="106"/>
        <v>0</v>
      </c>
      <c r="AC64" s="194">
        <f>IF(U64&lt;&gt;"",VLOOKUP(U64,B4:H52,7,FALSE),"")</f>
        <v>1000</v>
      </c>
      <c r="AD64" s="194">
        <f>IF(U64&lt;&gt;"",VLOOKUP(U64,B4:H52,5,FALSE),"")</f>
        <v>0</v>
      </c>
      <c r="AE64" s="194">
        <f>IF(U64&lt;&gt;"",VLOOKUP(U64,B4:J52,9,FALSE),"")</f>
        <v>15</v>
      </c>
      <c r="AF64" s="194">
        <f t="shared" ref="AF64:AF66" si="107">AB64</f>
        <v>0</v>
      </c>
      <c r="AG64" s="194">
        <f>IF(U64&lt;&gt;"",RANK(AF64,AF63:AF66),"")</f>
        <v>1</v>
      </c>
      <c r="AH64" s="194">
        <f>IF(U64&lt;&gt;"",SUMPRODUCT((AF63:AF66=AF64)*(AA63:AA66&gt;AA64)),"")</f>
        <v>0</v>
      </c>
      <c r="AI64" s="194">
        <f>IF(U64&lt;&gt;"",SUMPRODUCT((AF63:AF66=AF64)*(AA63:AA66=AA64)*(Y63:Y66&gt;Y64)),"")</f>
        <v>0</v>
      </c>
      <c r="AJ64" s="194">
        <f>IF(U64&lt;&gt;"",SUMPRODUCT((AF63:AF66=AF64)*(AA63:AA66=AA64)*(Y63:Y66=Y64)*(AC63:AC66&gt;AC64)),"")</f>
        <v>0</v>
      </c>
      <c r="AK64" s="194">
        <f>IF(U64&lt;&gt;"",SUMPRODUCT((AF63:AF66=AF64)*(AA63:AA66=AA64)*(Y63:Y66=Y64)*(AC63:AC66=AC64)*(AD63:AD66&gt;AD64)),"")</f>
        <v>0</v>
      </c>
      <c r="AL64" s="194">
        <f>IF(U64&lt;&gt;"",SUMPRODUCT((AF63:AF66=AF64)*(AA63:AA66=AA64)*(Y63:Y66=Y64)*(AC63:AC66=AC64)*(AD63:AD66=AD64)*(AE63:AE66&gt;AE64)),"")</f>
        <v>2</v>
      </c>
      <c r="AM64" s="194">
        <f t="shared" ref="AM64:AM66" si="108">IF(U64&lt;&gt;"",SUM(AG64:AL64),"")</f>
        <v>3</v>
      </c>
      <c r="AN64" s="194" t="str">
        <f>IF(AO12&lt;&gt;"",SUMPRODUCT((AV11:AV14=AV12)*(AU11:AU14=AU12)*(AS11:AS14=AS12)*(AT11:AT14=AT12)),"")</f>
        <v/>
      </c>
      <c r="AO64" s="194" t="str">
        <f>IF(AND(AN64&lt;&gt;"",AN64&gt;1),AO12,"")</f>
        <v/>
      </c>
      <c r="AP64" s="194">
        <f>SUMPRODUCT((CZ3:CZ54=AO64)*(DC3:DC54=AO65)*(DD3:DD54="W"))+SUMPRODUCT((CZ3:CZ54=AO64)*(DC3:DC54=AO66)*(DD3:DD54="W"))+SUMPRODUCT((CZ3:CZ54=AO64)*(DC3:DC54=AO67)*(DD3:DD54="W"))+SUMPRODUCT((CZ3:CZ54=AO65)*(DC3:DC54=AO64)*(DE3:DE54="W"))+SUMPRODUCT((CZ3:CZ54=AO66)*(DC3:DC54=AO64)*(DE3:DE54="W"))+SUMPRODUCT((CZ3:CZ54=AO67)*(DC3:DC54=AO64)*(DE3:DE54="W"))</f>
        <v>0</v>
      </c>
      <c r="AQ64" s="194">
        <f>SUMPRODUCT((CZ3:CZ54=AO64)*(DC3:DC54=AO65)*(DD3:DD54="D"))+SUMPRODUCT((CZ3:CZ54=AO64)*(DC3:DC54=AO66)*(DD3:DD54="D"))+SUMPRODUCT((CZ3:CZ54=AO64)*(DC3:DC54=AO67)*(DD3:DD54="D"))+SUMPRODUCT((CZ3:CZ54=AO65)*(DC3:DC54=AO64)*(DD3:DD54="D"))+SUMPRODUCT((CZ3:CZ54=AO66)*(DC3:DC54=AO64)*(DD3:DD54="D"))+SUMPRODUCT((CZ3:CZ54=AO67)*(DC3:DC54=AO64)*(DD3:DD54="D"))</f>
        <v>0</v>
      </c>
      <c r="AR64" s="194">
        <f>SUMPRODUCT((CZ3:CZ54=AO64)*(DC3:DC54=AO65)*(DD3:DD54="L"))+SUMPRODUCT((CZ3:CZ54=AO64)*(DC3:DC54=AO66)*(DD3:DD54="L"))+SUMPRODUCT((CZ3:CZ54=AO64)*(DC3:DC54=AO67)*(DD3:DD54="L"))+SUMPRODUCT((CZ3:CZ54=AO65)*(DC3:DC54=AO64)*(DE3:DE54="L"))+SUMPRODUCT((CZ3:CZ54=AO66)*(DC3:DC54=AO64)*(DE3:DE54="L"))+SUMPRODUCT((CZ3:CZ54=AO67)*(DC3:DC54=AO64)*(DE3:DE54="L"))</f>
        <v>0</v>
      </c>
      <c r="AS64" s="194">
        <f>SUMPRODUCT((CZ3:CZ54=AO64)*(DC3:DC54=AO65)*DA3:DA54)+SUMPRODUCT((CZ3:CZ54=AO64)*(DC3:DC54=AO66)*DA3:DA54)+SUMPRODUCT((CZ3:CZ54=AO64)*(DC3:DC54=AO67)*DA3:DA54)+SUMPRODUCT((CZ3:CZ54=AO64)*(DC3:DC54=AO63)*DA3:DA54)+SUMPRODUCT((CZ3:CZ54=AO65)*(DC3:DC54=AO64)*DB3:DB54)+SUMPRODUCT((CZ3:CZ54=AO66)*(DC3:DC54=AO64)*DB3:DB54)+SUMPRODUCT((CZ3:CZ54=AO67)*(DC3:DC54=AO64)*DB3:DB54)+SUMPRODUCT((CZ3:CZ54=AO63)*(DC3:DC54=AO64)*DB3:DB54)</f>
        <v>0</v>
      </c>
      <c r="AT64" s="194">
        <f>SUMPRODUCT((CZ3:CZ54=AO64)*(DC3:DC54=AO65)*DB3:DB54)+SUMPRODUCT((CZ3:CZ54=AO64)*(DC3:DC54=AO66)*DB3:DB54)+SUMPRODUCT((CZ3:CZ54=AO64)*(DC3:DC54=AO67)*DB3:DB54)+SUMPRODUCT((CZ3:CZ54=AO64)*(DC3:DC54=AO63)*DB3:DB54)+SUMPRODUCT((CZ3:CZ54=AO65)*(DC3:DC54=AO64)*DA3:DA54)+SUMPRODUCT((CZ3:CZ54=AO66)*(DC3:DC54=AO64)*DA3:DA54)+SUMPRODUCT((CZ3:CZ54=AO67)*(DC3:DC54=AO64)*DA3:DA54)+SUMPRODUCT((CZ3:CZ54=AO63)*(DC3:DC54=AO64)*DA3:DA54)</f>
        <v>0</v>
      </c>
      <c r="AU64" s="194">
        <f>AS64-AT64+1000</f>
        <v>1000</v>
      </c>
      <c r="AV64" s="194" t="str">
        <f t="shared" ref="AV64:AV66" si="109">IF(AO64&lt;&gt;"",AP64*3+AQ64*1,"")</f>
        <v/>
      </c>
      <c r="AW64" s="194" t="str">
        <f>IF(AO64&lt;&gt;"",VLOOKUP(AO64,B4:H52,7,FALSE),"")</f>
        <v/>
      </c>
      <c r="AX64" s="194" t="str">
        <f>IF(AO64&lt;&gt;"",VLOOKUP(AO64,B4:H52,5,FALSE),"")</f>
        <v/>
      </c>
      <c r="AY64" s="194" t="str">
        <f>IF(AO64&lt;&gt;"",VLOOKUP(AO64,B4:J52,9,FALSE),"")</f>
        <v/>
      </c>
      <c r="AZ64" s="194" t="str">
        <f t="shared" ref="AZ64:AZ66" si="110">AV64</f>
        <v/>
      </c>
      <c r="BA64" s="194" t="str">
        <f>IF(AO64&lt;&gt;"",RANK(AZ64,AZ63:AZ66),"")</f>
        <v/>
      </c>
      <c r="BB64" s="194" t="str">
        <f>IF(AO64&lt;&gt;"",SUMPRODUCT((AZ63:AZ66=AZ64)*(AU63:AU66&gt;AU64)),"")</f>
        <v/>
      </c>
      <c r="BC64" s="194" t="str">
        <f>IF(AO64&lt;&gt;"",SUMPRODUCT((AZ63:AZ66=AZ64)*(AU63:AU66=AU64)*(AS63:AS66&gt;AS64)),"")</f>
        <v/>
      </c>
      <c r="BD64" s="194" t="str">
        <f>IF(AO64&lt;&gt;"",SUMPRODUCT((AZ63:AZ66=AZ64)*(AU63:AU66=AU64)*(AS63:AS66=AS64)*(AW63:AW66&gt;AW64)),"")</f>
        <v/>
      </c>
      <c r="BE64" s="194" t="str">
        <f>IF(AO64&lt;&gt;"",SUMPRODUCT((AZ63:AZ66=AZ64)*(AU63:AU66=AU64)*(AS63:AS66=AS64)*(AW63:AW66=AW64)*(AX63:AX66&gt;AX64)),"")</f>
        <v/>
      </c>
      <c r="BF64" s="194" t="str">
        <f>IF(AO64&lt;&gt;"",SUMPRODUCT((AZ63:AZ66=AZ64)*(AU63:AU66=AU64)*(AS63:AS66=AS64)*(AW63:AW66=AW64)*(AX63:AX66=AX64)*(AY63:AY66&gt;AY64)),"")</f>
        <v/>
      </c>
      <c r="BG64" s="194" t="str">
        <f>IF(AO64&lt;&gt;"",SUM(BA64:BF64)+1,"")</f>
        <v/>
      </c>
      <c r="DR64" s="196" t="str">
        <f>Matches!L61</f>
        <v>Match 57 Winner</v>
      </c>
      <c r="DT64" s="196" t="str">
        <f>IF(ISERROR("Calculator!"&amp;VLOOKUP(DR64,Calculator!DR7:DS38,2,FALSE)),"Calculator!dq77","Calculator!"&amp;VLOOKUP(DR64,Calculator!DR7:DS38,2,FALSE))</f>
        <v>Calculator!dq77</v>
      </c>
      <c r="DW64" s="20"/>
      <c r="DX64" s="9">
        <v>58</v>
      </c>
      <c r="DY64" s="203">
        <f t="shared" si="13"/>
        <v>45842.875</v>
      </c>
      <c r="DZ64" s="206">
        <v>45842.875</v>
      </c>
      <c r="EA64" s="205">
        <f t="shared" si="74"/>
        <v>45842.875</v>
      </c>
      <c r="EB64" s="206">
        <v>45842.875</v>
      </c>
    </row>
    <row r="65" spans="6:132" x14ac:dyDescent="0.25">
      <c r="F65" s="194">
        <v>1</v>
      </c>
      <c r="G65" s="194">
        <v>1</v>
      </c>
      <c r="H65" s="194">
        <v>1</v>
      </c>
      <c r="I65" s="194">
        <f>IF(COUNTIF(I11:I14,4)=4,1,SUMPRODUCT((I11:I14=I13)*(H11:H14=H13)*(F11:F14&gt;F13))+1)</f>
        <v>1</v>
      </c>
      <c r="S65" s="194">
        <v>2</v>
      </c>
      <c r="T65" s="194">
        <f>IF(U13&lt;&gt;"",SUMPRODUCT((AB11:AB14=AB13)*(AA11:AA14=AA13)*(Y11:Y14=Y13)*(Z11:Z14=Z13)),"")</f>
        <v>4</v>
      </c>
      <c r="U65" s="194" t="str">
        <f>IF(AND(T65&lt;&gt;"",T65&gt;1),U13,"")</f>
        <v>Atletico Madrid</v>
      </c>
      <c r="V65" s="194">
        <f>SUMPRODUCT((CZ3:CZ54=U65)*(DC3:DC54=U66)*(DD3:DD54="W"))+SUMPRODUCT((CZ3:CZ54=U65)*(DC3:DC54=U67)*(DD3:DD54="W"))+SUMPRODUCT((CZ3:CZ54=U65)*(DC3:DC54=U63)*(DD3:DD54="W"))+SUMPRODUCT((CZ3:CZ54=U65)*(DC3:DC54=U64)*(DD3:DD54="W"))+SUMPRODUCT((CZ3:CZ54=U66)*(DC3:DC54=U65)*(DE3:DE54="W"))+SUMPRODUCT((CZ3:CZ54=U67)*(DC3:DC54=U65)*(DE3:DE54="W"))+SUMPRODUCT((CZ3:CZ54=U63)*(DC3:DC54=U65)*(DE3:DE54="W"))+SUMPRODUCT((CZ3:CZ54=U64)*(DC3:DC54=U65)*(DE3:DE54="W"))</f>
        <v>0</v>
      </c>
      <c r="W65" s="194">
        <f>SUMPRODUCT((CZ3:CZ54=U65)*(DC3:DC54=U66)*(DD3:DD54="D"))+SUMPRODUCT((CZ3:CZ54=U65)*(DC3:DC54=U67)*(DD3:DD54="D"))+SUMPRODUCT((CZ3:CZ54=U65)*(DC3:DC54=U63)*(DD3:DD54="D"))+SUMPRODUCT((CZ3:CZ54=U65)*(DC3:DC54=U64)*(DD3:DD54="D"))+SUMPRODUCT((CZ3:CZ54=U66)*(DC3:DC54=U65)*(DD3:DD54="D"))+SUMPRODUCT((CZ3:CZ54=U67)*(DC3:DC54=U65)*(DD3:DD54="D"))+SUMPRODUCT((CZ3:CZ54=U63)*(DC3:DC54=U65)*(DD3:DD54="D"))+SUMPRODUCT((CZ3:CZ54=U64)*(DC3:DC54=U65)*(DD3:DD54="D"))</f>
        <v>0</v>
      </c>
      <c r="X65" s="194">
        <f>SUMPRODUCT((CZ3:CZ54=U65)*(DC3:DC54=U66)*(DD3:DD54="L"))+SUMPRODUCT((CZ3:CZ54=U65)*(DC3:DC54=U67)*(DD3:DD54="L"))+SUMPRODUCT((CZ3:CZ54=U65)*(DC3:DC54=U63)*(DD3:DD54="L"))+SUMPRODUCT((CZ3:CZ54=U65)*(DC3:DC54=U64)*(DD3:DD54="L"))+SUMPRODUCT((CZ3:CZ54=U66)*(DC3:DC54=U65)*(DE3:DE54="L"))+SUMPRODUCT((CZ3:CZ54=U67)*(DC3:DC54=U65)*(DE3:DE54="L"))+SUMPRODUCT((CZ3:CZ54=U63)*(DC3:DC54=U65)*(DE3:DE54="L"))+SUMPRODUCT((CZ3:CZ54=U64)*(DC3:DC54=U65)*(DE3:DE54="L"))</f>
        <v>0</v>
      </c>
      <c r="Y65" s="194">
        <f>SUMPRODUCT((CZ3:CZ54=U65)*(DC3:DC54=U66)*DA3:DA54)+SUMPRODUCT((CZ3:CZ54=U65)*(DC3:DC54=U67)*DA3:DA54)+SUMPRODUCT((CZ3:CZ54=U65)*(DC3:DC54=U63)*DA3:DA54)+SUMPRODUCT((CZ3:CZ54=U65)*(DC3:DC54=U64)*DA3:DA54)+SUMPRODUCT((CZ3:CZ54=U66)*(DC3:DC54=U65)*DB3:DB54)+SUMPRODUCT((CZ3:CZ54=U67)*(DC3:DC54=U65)*DB3:DB54)+SUMPRODUCT((CZ3:CZ54=U63)*(DC3:DC54=U65)*DB3:DB54)+SUMPRODUCT((CZ3:CZ54=U64)*(DC3:DC54=U65)*DB3:DB54)</f>
        <v>0</v>
      </c>
      <c r="Z65" s="194">
        <f>SUMPRODUCT((CZ3:CZ54=U65)*(DC3:DC54=U66)*DB3:DB54)+SUMPRODUCT((CZ3:CZ54=U65)*(DC3:DC54=U67)*DB3:DB54)+SUMPRODUCT((CZ3:CZ54=U65)*(DC3:DC54=U63)*DB3:DB54)+SUMPRODUCT((CZ3:CZ54=U65)*(DC3:DC54=U64)*DB3:DB54)+SUMPRODUCT((CZ3:CZ54=U66)*(DC3:DC54=U65)*DA3:DA54)+SUMPRODUCT((CZ3:CZ54=U67)*(DC3:DC54=U65)*DA3:DA54)+SUMPRODUCT((CZ3:CZ54=U63)*(DC3:DC54=U65)*DA3:DA54)+SUMPRODUCT((CZ3:CZ54=U64)*(DC3:DC54=U65)*DA3:DA54)</f>
        <v>0</v>
      </c>
      <c r="AA65" s="194">
        <f>Y65-Z65+1000</f>
        <v>1000</v>
      </c>
      <c r="AB65" s="194">
        <f t="shared" si="106"/>
        <v>0</v>
      </c>
      <c r="AC65" s="194">
        <f>IF(U65&lt;&gt;"",VLOOKUP(U65,B4:H52,7,FALSE),"")</f>
        <v>1000</v>
      </c>
      <c r="AD65" s="194">
        <f>IF(U65&lt;&gt;"",VLOOKUP(U65,B4:H52,5,FALSE),"")</f>
        <v>0</v>
      </c>
      <c r="AE65" s="194">
        <f>IF(U65&lt;&gt;"",VLOOKUP(U65,B4:J52,9,FALSE),"")</f>
        <v>23</v>
      </c>
      <c r="AF65" s="194">
        <f t="shared" si="107"/>
        <v>0</v>
      </c>
      <c r="AG65" s="194">
        <f>IF(U65&lt;&gt;"",RANK(AF65,AF63:AF66),"")</f>
        <v>1</v>
      </c>
      <c r="AH65" s="194">
        <f>IF(U65&lt;&gt;"",SUMPRODUCT((AF63:AF66=AF65)*(AA63:AA66&gt;AA65)),"")</f>
        <v>0</v>
      </c>
      <c r="AI65" s="194">
        <f>IF(U65&lt;&gt;"",SUMPRODUCT((AF63:AF66=AF65)*(AA63:AA66=AA65)*(Y63:Y66&gt;Y65)),"")</f>
        <v>0</v>
      </c>
      <c r="AJ65" s="194">
        <f>IF(U65&lt;&gt;"",SUMPRODUCT((AF63:AF66=AF65)*(AA63:AA66=AA65)*(Y63:Y66=Y65)*(AC63:AC66&gt;AC65)),"")</f>
        <v>0</v>
      </c>
      <c r="AK65" s="194">
        <f>IF(U65&lt;&gt;"",SUMPRODUCT((AF63:AF66=AF65)*(AA63:AA66=AA65)*(Y63:Y66=Y65)*(AC63:AC66=AC65)*(AD63:AD66&gt;AD65)),"")</f>
        <v>0</v>
      </c>
      <c r="AL65" s="194">
        <f>IF(U65&lt;&gt;"",SUMPRODUCT((AF63:AF66=AF65)*(AA63:AA66=AA65)*(Y63:Y66=Y65)*(AC63:AC66=AC65)*(AD63:AD66=AD65)*(AE63:AE66&gt;AE65)),"")</f>
        <v>1</v>
      </c>
      <c r="AM65" s="194">
        <f t="shared" si="108"/>
        <v>2</v>
      </c>
      <c r="AN65" s="194" t="str">
        <f>IF(AO13&lt;&gt;"",SUMPRODUCT((AV11:AV14=AV13)*(AU11:AU14=AU13)*(AS11:AS14=AS13)*(AT11:AT14=AT13)),"")</f>
        <v/>
      </c>
      <c r="AO65" s="194" t="str">
        <f>IF(AND(AN65&lt;&gt;"",AN65&gt;1),AO13,"")</f>
        <v/>
      </c>
      <c r="AP65" s="194">
        <f>SUMPRODUCT((CZ3:CZ54=AO65)*(DC3:DC54=AO66)*(DD3:DD54="W"))+SUMPRODUCT((CZ3:CZ54=AO65)*(DC3:DC54=AO67)*(DD3:DD54="W"))+SUMPRODUCT((CZ3:CZ54=AO65)*(DC3:DC54=AO64)*(DD3:DD54="W"))+SUMPRODUCT((CZ3:CZ54=AO66)*(DC3:DC54=AO65)*(DE3:DE54="W"))+SUMPRODUCT((CZ3:CZ54=AO67)*(DC3:DC54=AO65)*(DE3:DE54="W"))+SUMPRODUCT((CZ3:CZ54=AO64)*(DC3:DC54=AO65)*(DE3:DE54="W"))</f>
        <v>0</v>
      </c>
      <c r="AQ65" s="194">
        <f>SUMPRODUCT((CZ3:CZ54=AO65)*(DC3:DC54=AO66)*(DD3:DD54="D"))+SUMPRODUCT((CZ3:CZ54=AO65)*(DC3:DC54=AO67)*(DD3:DD54="D"))+SUMPRODUCT((CZ3:CZ54=AO65)*(DC3:DC54=AO64)*(DD3:DD54="D"))+SUMPRODUCT((CZ3:CZ54=AO66)*(DC3:DC54=AO65)*(DD3:DD54="D"))+SUMPRODUCT((CZ3:CZ54=AO67)*(DC3:DC54=AO65)*(DD3:DD54="D"))+SUMPRODUCT((CZ3:CZ54=AO64)*(DC3:DC54=AO65)*(DD3:DD54="D"))</f>
        <v>0</v>
      </c>
      <c r="AR65" s="194">
        <f>SUMPRODUCT((CZ3:CZ54=AO65)*(DC3:DC54=AO66)*(DD3:DD54="L"))+SUMPRODUCT((CZ3:CZ54=AO65)*(DC3:DC54=AO67)*(DD3:DD54="L"))+SUMPRODUCT((CZ3:CZ54=AO65)*(DC3:DC54=AO64)*(DD3:DD54="L"))+SUMPRODUCT((CZ3:CZ54=AO66)*(DC3:DC54=AO65)*(DE3:DE54="L"))+SUMPRODUCT((CZ3:CZ54=AO67)*(DC3:DC54=AO65)*(DE3:DE54="L"))+SUMPRODUCT((CZ3:CZ54=AO64)*(DC3:DC54=AO65)*(DE3:DE54="L"))</f>
        <v>0</v>
      </c>
      <c r="AS65" s="194">
        <f>SUMPRODUCT((CZ3:CZ54=AO65)*(DC3:DC54=AO66)*DA3:DA54)+SUMPRODUCT((CZ3:CZ54=AO65)*(DC3:DC54=AO67)*DA3:DA54)+SUMPRODUCT((CZ3:CZ54=AO65)*(DC3:DC54=AO63)*DA3:DA54)+SUMPRODUCT((CZ3:CZ54=AO65)*(DC3:DC54=AO64)*DA3:DA54)+SUMPRODUCT((CZ3:CZ54=AO66)*(DC3:DC54=AO65)*DB3:DB54)+SUMPRODUCT((CZ3:CZ54=AO67)*(DC3:DC54=AO65)*DB3:DB54)+SUMPRODUCT((CZ3:CZ54=AO63)*(DC3:DC54=AO65)*DB3:DB54)+SUMPRODUCT((CZ3:CZ54=AO64)*(DC3:DC54=AO65)*DB3:DB54)</f>
        <v>0</v>
      </c>
      <c r="AT65" s="194">
        <f>SUMPRODUCT((CZ3:CZ54=AO65)*(DC3:DC54=AO66)*DB3:DB54)+SUMPRODUCT((CZ3:CZ54=AO65)*(DC3:DC54=AO67)*DB3:DB54)+SUMPRODUCT((CZ3:CZ54=AO65)*(DC3:DC54=AO63)*DB3:DB54)+SUMPRODUCT((CZ3:CZ54=AO65)*(DC3:DC54=AO64)*DB3:DB54)+SUMPRODUCT((CZ3:CZ54=AO66)*(DC3:DC54=AO65)*DA3:DA54)+SUMPRODUCT((CZ3:CZ54=AO67)*(DC3:DC54=AO65)*DA3:DA54)+SUMPRODUCT((CZ3:CZ54=AO63)*(DC3:DC54=AO65)*DA3:DA54)+SUMPRODUCT((CZ3:CZ54=AO64)*(DC3:DC54=AO65)*DA3:DA54)</f>
        <v>0</v>
      </c>
      <c r="AU65" s="194">
        <f>AS65-AT65+1000</f>
        <v>1000</v>
      </c>
      <c r="AV65" s="194" t="str">
        <f t="shared" si="109"/>
        <v/>
      </c>
      <c r="AW65" s="194" t="str">
        <f>IF(AO65&lt;&gt;"",VLOOKUP(AO65,B4:H52,7,FALSE),"")</f>
        <v/>
      </c>
      <c r="AX65" s="194" t="str">
        <f>IF(AO65&lt;&gt;"",VLOOKUP(AO65,B4:H52,5,FALSE),"")</f>
        <v/>
      </c>
      <c r="AY65" s="194" t="str">
        <f>IF(AO65&lt;&gt;"",VLOOKUP(AO65,B4:J52,9,FALSE),"")</f>
        <v/>
      </c>
      <c r="AZ65" s="194" t="str">
        <f t="shared" si="110"/>
        <v/>
      </c>
      <c r="BA65" s="194" t="str">
        <f>IF(AO65&lt;&gt;"",RANK(AZ65,AZ63:AZ66),"")</f>
        <v/>
      </c>
      <c r="BB65" s="194" t="str">
        <f>IF(AO65&lt;&gt;"",SUMPRODUCT((AZ63:AZ66=AZ65)*(AU63:AU66&gt;AU65)),"")</f>
        <v/>
      </c>
      <c r="BC65" s="194" t="str">
        <f>IF(AO65&lt;&gt;"",SUMPRODUCT((AZ63:AZ66=AZ65)*(AU63:AU66=AU65)*(AS63:AS66&gt;AS65)),"")</f>
        <v/>
      </c>
      <c r="BD65" s="194" t="str">
        <f>IF(AO65&lt;&gt;"",SUMPRODUCT((AZ63:AZ66=AZ65)*(AU63:AU66=AU65)*(AS63:AS66=AS65)*(AW63:AW66&gt;AW65)),"")</f>
        <v/>
      </c>
      <c r="BE65" s="194" t="str">
        <f>IF(AO65&lt;&gt;"",SUMPRODUCT((AZ63:AZ66=AZ65)*(AU63:AU66=AU65)*(AS63:AS66=AS65)*(AW63:AW66=AW65)*(AX63:AX66&gt;AX65)),"")</f>
        <v/>
      </c>
      <c r="BF65" s="194" t="str">
        <f>IF(AO65&lt;&gt;"",SUMPRODUCT((AZ63:AZ66=AZ65)*(AU63:AU66=AU65)*(AS63:AS66=AS65)*(AW63:AW66=AW65)*(AX63:AX66=AX65)*(AY63:AY66&gt;AY65)),"")</f>
        <v/>
      </c>
      <c r="BG65" s="194" t="str">
        <f t="shared" ref="BG65:BG66" si="111">IF(AO65&lt;&gt;"",SUM(BA65:BF65)+1,"")</f>
        <v/>
      </c>
      <c r="DR65" s="196" t="str">
        <f>Matches!L62</f>
        <v>Match 58 Winner</v>
      </c>
      <c r="DT65" s="196" t="str">
        <f>IF(ISERROR("Calculator!"&amp;VLOOKUP(DR65,Calculator!DR7:DS38,2,FALSE)),"Calculator!dq77","Calculator!"&amp;VLOOKUP(DR65,Calculator!DR7:DS38,2,FALSE))</f>
        <v>Calculator!dq77</v>
      </c>
      <c r="DW65" s="20"/>
      <c r="DX65" s="9">
        <v>59</v>
      </c>
      <c r="DY65" s="203">
        <f t="shared" si="13"/>
        <v>45843.5</v>
      </c>
      <c r="DZ65" s="206">
        <v>45843.5</v>
      </c>
      <c r="EA65" s="205">
        <f t="shared" si="74"/>
        <v>45843.5</v>
      </c>
      <c r="EB65" s="206">
        <v>45843.5</v>
      </c>
    </row>
    <row r="66" spans="6:132" x14ac:dyDescent="0.25">
      <c r="F66" s="194">
        <v>1</v>
      </c>
      <c r="G66" s="194">
        <v>1</v>
      </c>
      <c r="H66" s="194">
        <v>1</v>
      </c>
      <c r="I66" s="194">
        <f>IF(COUNTIF(I11:I14,4)=4,1,SUMPRODUCT((I11:I14=I14)*(H11:H14=H14)*(F11:F14&gt;F14))+1)</f>
        <v>1</v>
      </c>
      <c r="S66" s="194">
        <v>1</v>
      </c>
      <c r="T66" s="194">
        <f>IF(U14&lt;&gt;"",SUMPRODUCT((AB11:AB14=AB14)*(AA11:AA14=AA14)*(Y11:Y14=Y14)*(Z11:Z14=Z14)),"")</f>
        <v>4</v>
      </c>
      <c r="U66" s="194" t="str">
        <f>IF(AND(T66&lt;&gt;"",T66&gt;1),U14,"")</f>
        <v>Paris Saint-Germain</v>
      </c>
      <c r="V66" s="194">
        <f>SUMPRODUCT((CZ3:CZ54=U66)*(DC3:DC54=U67)*(DD3:DD54="W"))+SUMPRODUCT((CZ3:CZ54=U66)*(DC3:DC54=U63)*(DD3:DD54="W"))+SUMPRODUCT((CZ3:CZ54=U66)*(DC3:DC54=U64)*(DD3:DD54="W"))+SUMPRODUCT((CZ3:CZ54=U66)*(DC3:DC54=U65)*(DD3:DD54="W"))+SUMPRODUCT((CZ3:CZ54=U67)*(DC3:DC54=U66)*(DE3:DE54="W"))+SUMPRODUCT((CZ3:CZ54=U63)*(DC3:DC54=U66)*(DE3:DE54="W"))+SUMPRODUCT((CZ3:CZ54=U64)*(DC3:DC54=U66)*(DE3:DE54="W"))+SUMPRODUCT((CZ3:CZ54=U65)*(DC3:DC54=U66)*(DE3:DE54="W"))</f>
        <v>0</v>
      </c>
      <c r="W66" s="194">
        <f>SUMPRODUCT((CZ3:CZ54=U66)*(DC3:DC54=U67)*(DD3:DD54="D"))+SUMPRODUCT((CZ3:CZ54=U66)*(DC3:DC54=U63)*(DD3:DD54="D"))+SUMPRODUCT((CZ3:CZ54=U66)*(DC3:DC54=U64)*(DD3:DD54="D"))+SUMPRODUCT((CZ3:CZ54=U66)*(DC3:DC54=U65)*(DD3:DD54="D"))+SUMPRODUCT((CZ3:CZ54=U67)*(DC3:DC54=U66)*(DD3:DD54="D"))+SUMPRODUCT((CZ3:CZ54=U63)*(DC3:DC54=U66)*(DD3:DD54="D"))+SUMPRODUCT((CZ3:CZ54=U64)*(DC3:DC54=U66)*(DD3:DD54="D"))+SUMPRODUCT((CZ3:CZ54=U65)*(DC3:DC54=U66)*(DD3:DD54="D"))</f>
        <v>0</v>
      </c>
      <c r="X66" s="194">
        <f>SUMPRODUCT((CZ3:CZ54=U66)*(DC3:DC54=U67)*(DD3:DD54="L"))+SUMPRODUCT((CZ3:CZ54=U66)*(DC3:DC54=U63)*(DD3:DD54="L"))+SUMPRODUCT((CZ3:CZ54=U66)*(DC3:DC54=U64)*(DD3:DD54="L"))+SUMPRODUCT((CZ3:CZ54=U66)*(DC3:DC54=U65)*(DD3:DD54="L"))+SUMPRODUCT((CZ3:CZ54=U67)*(DC3:DC54=U66)*(DE3:DE54="L"))+SUMPRODUCT((CZ3:CZ54=U63)*(DC3:DC54=U66)*(DE3:DE54="L"))+SUMPRODUCT((CZ3:CZ54=U64)*(DC3:DC54=U66)*(DE3:DE54="L"))+SUMPRODUCT((CZ3:CZ54=U65)*(DC3:DC54=U66)*(DE3:DE54="L"))</f>
        <v>0</v>
      </c>
      <c r="Y66" s="194">
        <f>SUMPRODUCT((CZ3:CZ54=U66)*(DC3:DC54=U67)*DA3:DA54)+SUMPRODUCT((CZ3:CZ54=U66)*(DC3:DC54=U63)*DA3:DA54)+SUMPRODUCT((CZ3:CZ54=U66)*(DC3:DC54=U64)*DA3:DA54)+SUMPRODUCT((CZ3:CZ54=U66)*(DC3:DC54=U65)*DA3:DA54)+SUMPRODUCT((CZ3:CZ54=U67)*(DC3:DC54=U66)*DB3:DB54)+SUMPRODUCT((CZ3:CZ54=U63)*(DC3:DC54=U66)*DB3:DB54)+SUMPRODUCT((CZ3:CZ54=U64)*(DC3:DC54=U66)*DB3:DB54)+SUMPRODUCT((CZ3:CZ54=U65)*(DC3:DC54=U66)*DB3:DB54)</f>
        <v>0</v>
      </c>
      <c r="Z66" s="194">
        <f>SUMPRODUCT((CZ3:CZ54=U66)*(DC3:DC54=U67)*DB3:DB54)+SUMPRODUCT((CZ3:CZ54=U66)*(DC3:DC54=U63)*DB3:DB54)+SUMPRODUCT((CZ3:CZ54=U66)*(DC3:DC54=U64)*DB3:DB54)+SUMPRODUCT((CZ3:CZ54=U66)*(DC3:DC54=U65)*DB3:DB54)+SUMPRODUCT((CZ3:CZ54=U67)*(DC3:DC54=U66)*DA3:DA54)+SUMPRODUCT((CZ3:CZ54=U63)*(DC3:DC54=U66)*DA3:DA54)+SUMPRODUCT((CZ3:CZ54=U64)*(DC3:DC54=U66)*DA3:DA54)+SUMPRODUCT((CZ3:CZ54=U65)*(DC3:DC54=U66)*DA3:DA54)</f>
        <v>0</v>
      </c>
      <c r="AA66" s="194">
        <f>Y66-Z66+1000</f>
        <v>1000</v>
      </c>
      <c r="AB66" s="194">
        <f t="shared" si="106"/>
        <v>0</v>
      </c>
      <c r="AC66" s="194">
        <f>IF(U66&lt;&gt;"",VLOOKUP(U66,B4:H52,7,FALSE),"")</f>
        <v>1000</v>
      </c>
      <c r="AD66" s="194">
        <f>IF(U66&lt;&gt;"",VLOOKUP(U66,B4:H52,5,FALSE),"")</f>
        <v>0</v>
      </c>
      <c r="AE66" s="194">
        <f>IF(U66&lt;&gt;"",VLOOKUP(U66,B4:J52,9,FALSE),"")</f>
        <v>29</v>
      </c>
      <c r="AF66" s="194">
        <f t="shared" si="107"/>
        <v>0</v>
      </c>
      <c r="AG66" s="194">
        <f>IF(U66&lt;&gt;"",RANK(AF66,AF63:AF66),"")</f>
        <v>1</v>
      </c>
      <c r="AH66" s="194">
        <f>IF(U66&lt;&gt;"",SUMPRODUCT((AF63:AF66=AF66)*(AA63:AA66&gt;AA66)),"")</f>
        <v>0</v>
      </c>
      <c r="AI66" s="194">
        <f>IF(U66&lt;&gt;"",SUMPRODUCT((AF63:AF66=AF66)*(AA63:AA66=AA66)*(Y63:Y66&gt;Y66)),"")</f>
        <v>0</v>
      </c>
      <c r="AJ66" s="194">
        <f>IF(U66&lt;&gt;"",SUMPRODUCT((AF63:AF66=AF66)*(AA63:AA66=AA66)*(Y63:Y66=Y66)*(AC63:AC66&gt;AC66)),"")</f>
        <v>0</v>
      </c>
      <c r="AK66" s="194">
        <f>IF(U66&lt;&gt;"",SUMPRODUCT((AF63:AF66=AF66)*(AA63:AA66=AA66)*(Y63:Y66=Y66)*(AC63:AC66=AC66)*(AD63:AD66&gt;AD66)),"")</f>
        <v>0</v>
      </c>
      <c r="AL66" s="194">
        <f>IF(U66&lt;&gt;"",SUMPRODUCT((AF63:AF66=AF66)*(AA63:AA66=AA66)*(Y63:Y66=Y66)*(AC63:AC66=AC66)*(AD63:AD66=AD66)*(AE63:AE66&gt;AE66)),"")</f>
        <v>0</v>
      </c>
      <c r="AM66" s="194">
        <f t="shared" si="108"/>
        <v>1</v>
      </c>
      <c r="AN66" s="194" t="str">
        <f>IF(AO14&lt;&gt;"",SUMPRODUCT((AV11:AV14=AV14)*(AU11:AU14=AU14)*(AS11:AS14=AS14)*(AT11:AT14=AT14)),"")</f>
        <v/>
      </c>
      <c r="AO66" s="194" t="str">
        <f>IF(AND(AN66&lt;&gt;"",AN66&gt;1),AO14,"")</f>
        <v/>
      </c>
      <c r="AP66" s="194" t="str">
        <f>IF(AO66&lt;&gt;"",SUMPRODUCT((CZ3:CZ54=AO66)*(DC3:DC54=AO67)*(DD3:DD54="W"))+SUMPRODUCT((CZ3:CZ54=AO66)*(DC3:DC54=AO64)*(DD3:DD54="W"))+SUMPRODUCT((CZ3:CZ54=AO66)*(DC3:DC54=AO65)*(DD3:DD54="W"))+SUMPRODUCT((CZ3:CZ54=AO67)*(DC3:DC54=AO66)*(DE3:DE54="W"))+SUMPRODUCT((CZ3:CZ54=AO64)*(DC3:DC54=AO66)*(DE3:DE54="W"))+SUMPRODUCT((CZ3:CZ54=AO65)*(DC3:DC54=AO66)*(DE3:DE54="W")),"")</f>
        <v/>
      </c>
      <c r="AQ66" s="194" t="str">
        <f>IF(AO66&lt;&gt;"",SUMPRODUCT((CZ3:CZ54=AO66)*(DC3:DC54=AO67)*(DD3:DD54="D"))+SUMPRODUCT((CZ3:CZ54=AO66)*(DC3:DC54=AO64)*(DD3:DD54="D"))+SUMPRODUCT((CZ3:CZ54=AO66)*(DC3:DC54=AO65)*(DD3:DD54="D"))+SUMPRODUCT((CZ3:CZ54=AO67)*(DC3:DC54=AO66)*(DD3:DD54="D"))+SUMPRODUCT((CZ3:CZ54=AO64)*(DC3:DC54=AO66)*(DD3:DD54="D"))+SUMPRODUCT((CZ3:CZ54=AO65)*(DC3:DC54=AO66)*(DD3:DD54="D")),"")</f>
        <v/>
      </c>
      <c r="AR66" s="194" t="str">
        <f>IF(AO66&lt;&gt;"",SUMPRODUCT((CZ3:CZ54=AO66)*(DC3:DC54=AO67)*(DD3:DD54="L"))+SUMPRODUCT((CZ3:CZ54=AO66)*(DC3:DC54=AO64)*(DD3:DD54="L"))+SUMPRODUCT((CZ3:CZ54=AO66)*(DC3:DC54=AO65)*(DD3:DD54="L"))+SUMPRODUCT((CZ3:CZ54=AO67)*(DC3:DC54=AO66)*(DE3:DE54="L"))+SUMPRODUCT((CZ3:CZ54=AO64)*(DC3:DC54=AO66)*(DE3:DE54="L"))+SUMPRODUCT((CZ3:CZ54=AO65)*(DC3:DC54=AO66)*(DE3:DE54="L")),"")</f>
        <v/>
      </c>
      <c r="AS66" s="194">
        <f>SUMPRODUCT((CZ3:CZ54=AO66)*(DC3:DC54=AO67)*DA3:DA54)+SUMPRODUCT((CZ3:CZ54=AO66)*(DC3:DC54=AO63)*DA3:DA54)+SUMPRODUCT((CZ3:CZ54=AO66)*(DC3:DC54=AO64)*DA3:DA54)+SUMPRODUCT((CZ3:CZ54=AO66)*(DC3:DC54=AO65)*DA3:DA54)+SUMPRODUCT((CZ3:CZ54=AO67)*(DC3:DC54=AO66)*DB3:DB54)+SUMPRODUCT((CZ3:CZ54=AO63)*(DC3:DC54=AO66)*DB3:DB54)+SUMPRODUCT((CZ3:CZ54=AO64)*(DC3:DC54=AO66)*DB3:DB54)+SUMPRODUCT((CZ3:CZ54=AO65)*(DC3:DC54=AO66)*DB3:DB54)</f>
        <v>0</v>
      </c>
      <c r="AT66" s="194">
        <f>SUMPRODUCT((CZ3:CZ54=AO66)*(DC3:DC54=AO67)*DB3:DB54)+SUMPRODUCT((CZ3:CZ54=AO66)*(DC3:DC54=AO63)*DB3:DB54)+SUMPRODUCT((CZ3:CZ54=AO66)*(DC3:DC54=AO64)*DB3:DB54)+SUMPRODUCT((CZ3:CZ54=AO66)*(DC3:DC54=AO65)*DB3:DB54)+SUMPRODUCT((CZ3:CZ54=AO67)*(DC3:DC54=AO66)*DA3:DA54)+SUMPRODUCT((CZ3:CZ54=AO63)*(DC3:DC54=AO66)*DA3:DA54)+SUMPRODUCT((CZ3:CZ54=AO64)*(DC3:DC54=AO66)*DA3:DA54)+SUMPRODUCT((CZ3:CZ54=AO65)*(DC3:DC54=AO66)*DA3:DA54)</f>
        <v>0</v>
      </c>
      <c r="AU66" s="194">
        <f>AS66-AT66+1000</f>
        <v>1000</v>
      </c>
      <c r="AV66" s="194" t="str">
        <f t="shared" si="109"/>
        <v/>
      </c>
      <c r="AW66" s="194" t="str">
        <f>IF(AO66&lt;&gt;"",VLOOKUP(AO66,B4:H52,7,FALSE),"")</f>
        <v/>
      </c>
      <c r="AX66" s="194" t="str">
        <f>IF(AO66&lt;&gt;"",VLOOKUP(AO66,B4:H52,5,FALSE),"")</f>
        <v/>
      </c>
      <c r="AY66" s="194" t="str">
        <f>IF(AO66&lt;&gt;"",VLOOKUP(AO66,B4:J52,9,FALSE),"")</f>
        <v/>
      </c>
      <c r="AZ66" s="194" t="str">
        <f t="shared" si="110"/>
        <v/>
      </c>
      <c r="BA66" s="194" t="str">
        <f>IF(AO66&lt;&gt;"",RANK(AZ66,AZ63:AZ66),"")</f>
        <v/>
      </c>
      <c r="BB66" s="194" t="str">
        <f>IF(AO66&lt;&gt;"",SUMPRODUCT((AZ63:AZ66=AZ66)*(AU63:AU66&gt;AU66)),"")</f>
        <v/>
      </c>
      <c r="BC66" s="194" t="str">
        <f>IF(AO66&lt;&gt;"",SUMPRODUCT((AZ63:AZ66=AZ66)*(AU63:AU66=AU66)*(AS63:AS66&gt;AS66)),"")</f>
        <v/>
      </c>
      <c r="BD66" s="194" t="str">
        <f>IF(AO66&lt;&gt;"",SUMPRODUCT((AZ63:AZ66=AZ66)*(AU63:AU66=AU66)*(AS63:AS66=AS66)*(AW63:AW66&gt;AW66)),"")</f>
        <v/>
      </c>
      <c r="BE66" s="194" t="str">
        <f>IF(AO66&lt;&gt;"",SUMPRODUCT((AZ63:AZ66=AZ66)*(AU63:AU66=AU66)*(AS63:AS66=AS66)*(AW63:AW66=AW66)*(AX63:AX66&gt;AX66)),"")</f>
        <v/>
      </c>
      <c r="BF66" s="194" t="str">
        <f>IF(AO66&lt;&gt;"",SUMPRODUCT((AZ63:AZ66=AZ66)*(AU63:AU66=AU66)*(AS63:AS66=AS66)*(AW63:AW66=AW66)*(AX63:AX66=AX66)*(AY63:AY66&gt;AY66)),"")</f>
        <v/>
      </c>
      <c r="BG66" s="194" t="str">
        <f t="shared" si="111"/>
        <v/>
      </c>
      <c r="DR66" s="196" t="str">
        <f>Matches!L77</f>
        <v>Match 59 Winner</v>
      </c>
      <c r="DT66" s="196" t="str">
        <f>IF(ISERROR("Calculator!"&amp;VLOOKUP(DR66,Calculator!DR7:DS38,2,FALSE)),"Calculator!dq77","Calculator!"&amp;VLOOKUP(DR66,Calculator!DR7:DS38,2,FALSE))</f>
        <v>Calculator!dq77</v>
      </c>
      <c r="DW66" s="20"/>
      <c r="DX66" s="9">
        <v>60</v>
      </c>
      <c r="DY66" s="203">
        <f t="shared" si="13"/>
        <v>45843.666666666664</v>
      </c>
      <c r="DZ66" s="206">
        <v>45843.666666666664</v>
      </c>
      <c r="EA66" s="205">
        <f t="shared" si="74"/>
        <v>45843.666666666664</v>
      </c>
      <c r="EB66" s="206">
        <v>45843.666666666664</v>
      </c>
    </row>
    <row r="67" spans="6:132" x14ac:dyDescent="0.25">
      <c r="DR67" s="196" t="str">
        <f>Matches!L78</f>
        <v>Match 60 Winner</v>
      </c>
      <c r="DT67" s="196" t="str">
        <f>IF(ISERROR("Calculator!"&amp;VLOOKUP(DR67,Calculator!DR7:DS38,2,FALSE)),"Calculator!dq77","Calculator!"&amp;VLOOKUP(DR67,Calculator!DR7:DS38,2,FALSE))</f>
        <v>Calculator!dq77</v>
      </c>
      <c r="DW67" s="20"/>
      <c r="DX67" s="9">
        <v>61</v>
      </c>
      <c r="DY67" s="203">
        <f t="shared" si="13"/>
        <v>45846.625</v>
      </c>
      <c r="DZ67" s="206">
        <v>45846.625</v>
      </c>
      <c r="EA67" s="205">
        <f t="shared" si="74"/>
        <v>45846.625</v>
      </c>
      <c r="EB67" s="206">
        <v>45846.625</v>
      </c>
    </row>
    <row r="68" spans="6:132" x14ac:dyDescent="0.25">
      <c r="DR68" s="196" t="str">
        <f>Matches!Q69</f>
        <v>Match 61 Winner</v>
      </c>
      <c r="DT68" s="196" t="str">
        <f>IF(ISERROR("Calculator!"&amp;VLOOKUP(DR68,Calculator!DR7:DS38,2,FALSE)),"Calculator!dq77","Calculator!"&amp;VLOOKUP(DR68,Calculator!DR7:DS38,2,FALSE))</f>
        <v>Calculator!dq77</v>
      </c>
      <c r="DW68" s="20"/>
      <c r="DX68" s="9">
        <v>62</v>
      </c>
      <c r="DY68" s="203">
        <f t="shared" si="13"/>
        <v>45847.625</v>
      </c>
      <c r="DZ68" s="206">
        <v>45847.625</v>
      </c>
      <c r="EA68" s="205">
        <f t="shared" si="74"/>
        <v>45847.625</v>
      </c>
      <c r="EB68" s="206">
        <v>45847.625</v>
      </c>
    </row>
    <row r="69" spans="6:132" x14ac:dyDescent="0.25">
      <c r="T69" s="194">
        <f>IF(U70="",SUM(AG18:AL18),IF(U71="",SUM(AG19:AL19),IF(U72="",SUM(AG20:AL20),IF(U73="",SUM(AG21:AL21),0))))</f>
        <v>0</v>
      </c>
      <c r="AN69" s="194">
        <f>IF(AO71="",SUM(BA19:BF19),IF(AO72="",SUM(BA20:BF20),IF(AO73="",SUM(BA21:BF21),0)))</f>
        <v>0</v>
      </c>
      <c r="DR69" s="196" t="str">
        <f>Matches!Q70</f>
        <v>Match 62 Winner</v>
      </c>
      <c r="DT69" s="196" t="str">
        <f>IF(ISERROR("Calculator!"&amp;VLOOKUP(DR69,Calculator!DR7:DS38,2,FALSE)),"Calculator!dq77","Calculator!"&amp;VLOOKUP(DR69,Calculator!DR7:DS38,2,FALSE))</f>
        <v>Calculator!dq77</v>
      </c>
      <c r="DW69" s="20"/>
      <c r="DX69" s="9">
        <v>63</v>
      </c>
      <c r="DY69" s="203">
        <f t="shared" si="13"/>
        <v>0</v>
      </c>
      <c r="DZ69" s="206"/>
      <c r="EA69" s="205">
        <f t="shared" si="74"/>
        <v>0</v>
      </c>
      <c r="EB69" s="206"/>
    </row>
    <row r="70" spans="6:132" x14ac:dyDescent="0.25">
      <c r="F70" s="194">
        <v>1</v>
      </c>
      <c r="G70" s="194">
        <v>1</v>
      </c>
      <c r="H70" s="194">
        <v>1</v>
      </c>
      <c r="I70" s="194">
        <f>IF(COUNTIF(I18:I21,4)=4,1,SUMPRODUCT((I18:I21=I18)*(H18:H21=H18)*(F18:F21&gt;F18))+1)</f>
        <v>1</v>
      </c>
      <c r="S70" s="194">
        <v>4</v>
      </c>
      <c r="T70" s="194">
        <f>IF(U18&lt;&gt;"",SUMPRODUCT((AB18:AB21=AB18)*(AA18:AA21=AA18)*(Y18:Y21=Y18)*(Z18:Z21=Z18)),"")</f>
        <v>4</v>
      </c>
      <c r="U70" s="194" t="str">
        <f>IF(AND(T70&lt;&gt;"",T70&gt;1),U18,"")</f>
        <v>Auckland City</v>
      </c>
      <c r="V70" s="194">
        <f>SUMPRODUCT((CZ3:CZ54=U70)*(DC3:DC54=U71)*(DD3:DD54="W"))+SUMPRODUCT((CZ3:CZ54=U70)*(DC3:DC54=U72)*(DD3:DD54="W"))+SUMPRODUCT((CZ3:CZ54=U70)*(DC3:DC54=U73)*(DD3:DD54="W"))+SUMPRODUCT((CZ3:CZ54=U70)*(DC3:DC54=U74)*(DD3:DD54="W"))+SUMPRODUCT((CZ3:CZ54=U71)*(DC3:DC54=U70)*(DE3:DE54="W"))+SUMPRODUCT((CZ3:CZ54=U72)*(DC3:DC54=U70)*(DE3:DE54="W"))+SUMPRODUCT((CZ3:CZ54=U73)*(DC3:DC54=U70)*(DE3:DE54="W"))+SUMPRODUCT((CZ3:CZ54=U74)*(DC3:DC54=U70)*(DE3:DE54="W"))</f>
        <v>0</v>
      </c>
      <c r="W70" s="194">
        <f>SUMPRODUCT((CZ3:CZ54=U70)*(DC3:DC54=U71)*(DD3:DD54="D"))+SUMPRODUCT((CZ3:CZ54=U70)*(DC3:DC54=U72)*(DD3:DD54="D"))+SUMPRODUCT((CZ3:CZ54=U70)*(DC3:DC54=U73)*(DD3:DD54="D"))+SUMPRODUCT((CZ3:CZ54=U70)*(DC3:DC54=U74)*(DD3:DD54="D"))+SUMPRODUCT((CZ3:CZ54=U71)*(DC3:DC54=U70)*(DD3:DD54="D"))+SUMPRODUCT((CZ3:CZ54=U72)*(DC3:DC54=U70)*(DD3:DD54="D"))+SUMPRODUCT((CZ3:CZ54=U73)*(DC3:DC54=U70)*(DD3:DD54="D"))+SUMPRODUCT((CZ3:CZ54=U74)*(DC3:DC54=U70)*(DD3:DD54="D"))</f>
        <v>0</v>
      </c>
      <c r="X70" s="194">
        <f>SUMPRODUCT((CZ3:CZ54=U70)*(DC3:DC54=U71)*(DD3:DD54="L"))+SUMPRODUCT((CZ3:CZ54=U70)*(DC3:DC54=U72)*(DD3:DD54="L"))+SUMPRODUCT((CZ3:CZ54=U70)*(DC3:DC54=U73)*(DD3:DD54="L"))+SUMPRODUCT((CZ3:CZ54=U70)*(DC3:DC54=U74)*(DD3:DD54="L"))+SUMPRODUCT((CZ3:CZ54=U71)*(DC3:DC54=U70)*(DE3:DE54="L"))+SUMPRODUCT((CZ3:CZ54=U72)*(DC3:DC54=U70)*(DE3:DE54="L"))+SUMPRODUCT((CZ3:CZ54=U73)*(DC3:DC54=U70)*(DE3:DE54="L"))+SUMPRODUCT((CZ3:CZ54=U74)*(DC3:DC54=U70)*(DE3:DE54="L"))</f>
        <v>0</v>
      </c>
      <c r="Y70" s="194">
        <f>SUMPRODUCT((CZ3:CZ54=U70)*(DC3:DC54=U71)*DA3:DA54)+SUMPRODUCT((CZ3:CZ54=U70)*(DC3:DC54=U72)*DA3:DA54)+SUMPRODUCT((CZ3:CZ54=U70)*(DC3:DC54=U73)*DA3:DA54)+SUMPRODUCT((CZ3:CZ54=U70)*(DC3:DC54=U74)*DA3:DA54)+SUMPRODUCT((CZ3:CZ54=U71)*(DC3:DC54=U70)*DB3:DB54)+SUMPRODUCT((CZ3:CZ54=U72)*(DC3:DC54=U70)*DB3:DB54)+SUMPRODUCT((CZ3:CZ54=U73)*(DC3:DC54=U70)*DB3:DB54)+SUMPRODUCT((CZ3:CZ54=U74)*(DC3:DC54=U70)*DB3:DB54)</f>
        <v>0</v>
      </c>
      <c r="Z70" s="194">
        <f>SUMPRODUCT((CZ3:CZ54=U70)*(DC3:DC54=U71)*DB3:DB54)+SUMPRODUCT((CZ3:CZ54=U70)*(DC3:DC54=U72)*DB3:DB54)+SUMPRODUCT((CZ3:CZ54=U70)*(DC3:DC54=U73)*DB3:DB54)+SUMPRODUCT((CZ3:CZ54=U70)*(DC3:DC54=U74)*DB3:DB54)+SUMPRODUCT((CZ3:CZ54=U71)*(DC3:DC54=U70)*DA3:DA54)+SUMPRODUCT((CZ3:CZ54=U72)*(DC3:DC54=U70)*DA3:DA54)+SUMPRODUCT((CZ3:CZ54=U73)*(DC3:DC54=U70)*DA3:DA54)+SUMPRODUCT((CZ3:CZ54=U74)*(DC3:DC54=U70)*DA3:DA54)</f>
        <v>0</v>
      </c>
      <c r="AA70" s="194">
        <f>Y70-Z70+1000</f>
        <v>1000</v>
      </c>
      <c r="AB70" s="194">
        <f>IF(U70&lt;&gt;"",V70*3+W70*1,"")</f>
        <v>0</v>
      </c>
      <c r="AC70" s="194">
        <f>IF(U70&lt;&gt;"",VLOOKUP(U70,B4:H52,7,FALSE),"")</f>
        <v>1000</v>
      </c>
      <c r="AD70" s="194">
        <f>IF(U70&lt;&gt;"",VLOOKUP(U70,B4:H52,5,FALSE),"")</f>
        <v>0</v>
      </c>
      <c r="AE70" s="194">
        <f>IF(U70&lt;&gt;"",VLOOKUP(U70,B4:J52,9,FALSE),"")</f>
        <v>6</v>
      </c>
      <c r="AF70" s="194">
        <f>AB70</f>
        <v>0</v>
      </c>
      <c r="AG70" s="194">
        <f>IF(U70&lt;&gt;"",RANK(AF70,AF70:AF73),"")</f>
        <v>1</v>
      </c>
      <c r="AH70" s="194">
        <f>IF(U70&lt;&gt;"",SUMPRODUCT((AF70:AF73=AF70)*(AA70:AA73&gt;AA70)),"")</f>
        <v>0</v>
      </c>
      <c r="AI70" s="194">
        <f>IF(U70&lt;&gt;"",SUMPRODUCT((AF70:AF73=AF70)*(AA70:AA73=AA70)*(Y70:Y73&gt;Y70)),"")</f>
        <v>0</v>
      </c>
      <c r="AJ70" s="194">
        <f>IF(U70&lt;&gt;"",SUMPRODUCT((AF70:AF73=AF70)*(AA70:AA73=AA70)*(Y70:Y73=Y70)*(AC70:AC73&gt;AC70)),"")</f>
        <v>0</v>
      </c>
      <c r="AK70" s="194">
        <f>IF(U70&lt;&gt;"",SUMPRODUCT((AF70:AF73=AF70)*(AA70:AA73=AA70)*(Y70:Y73=Y70)*(AC70:AC73=AC70)*(AD70:AD73&gt;AD70)),"")</f>
        <v>0</v>
      </c>
      <c r="AL70" s="194">
        <f>IF(U70&lt;&gt;"",SUMPRODUCT((AF70:AF73=AF70)*(AA70:AA73=AA70)*(Y70:Y73=Y70)*(AC70:AC73=AC70)*(AD70:AD73=AD70)*(AE70:AE73&gt;AE70)),"")</f>
        <v>3</v>
      </c>
      <c r="AM70" s="194">
        <f>IF(U70&lt;&gt;"",SUM(AG70:AL70),"")</f>
        <v>4</v>
      </c>
      <c r="DR70" s="196">
        <f>Matches!Q81</f>
        <v>0</v>
      </c>
      <c r="DT70" s="196" t="str">
        <f>IF(ISERROR("Calculator!"&amp;VLOOKUP(DR70,Calculator!DR7:DS38,2,FALSE)),"Calculator!dq77","Calculator!"&amp;VLOOKUP(DR70,Calculator!DR7:DS38,2,FALSE))</f>
        <v>Calculator!dq77</v>
      </c>
      <c r="DW70" s="20"/>
      <c r="DX70" s="9">
        <v>64</v>
      </c>
      <c r="DY70" s="203">
        <f t="shared" si="13"/>
        <v>45851.625</v>
      </c>
      <c r="DZ70" s="206">
        <v>45851.625</v>
      </c>
      <c r="EA70" s="205">
        <f t="shared" si="74"/>
        <v>45851.625</v>
      </c>
      <c r="EB70" s="206">
        <v>45851.625</v>
      </c>
    </row>
    <row r="71" spans="6:132" x14ac:dyDescent="0.25">
      <c r="F71" s="194">
        <v>1</v>
      </c>
      <c r="G71" s="194">
        <v>1</v>
      </c>
      <c r="H71" s="194">
        <v>1</v>
      </c>
      <c r="I71" s="194">
        <f>IF(COUNTIF(I18:I21,4)=4,1,SUMPRODUCT((I18:I21=I19)*(H18:H21=H19)*(F18:F21&gt;F19))+1)</f>
        <v>1</v>
      </c>
      <c r="S71" s="194">
        <v>3</v>
      </c>
      <c r="T71" s="194">
        <f>IF(U19&lt;&gt;"",SUMPRODUCT((AB18:AB21=AB19)*(AA18:AA21=AA19)*(Y18:Y21=Y19)*(Z18:Z21=Z19)),"")</f>
        <v>4</v>
      </c>
      <c r="U71" s="194" t="str">
        <f>IF(AND(T71&lt;&gt;"",T71&gt;1),U19,"")</f>
        <v>Boca Juniors</v>
      </c>
      <c r="V71" s="194">
        <f>SUMPRODUCT((CZ3:CZ54=U71)*(DC3:DC54=U72)*(DD3:DD54="W"))+SUMPRODUCT((CZ3:CZ54=U71)*(DC3:DC54=U73)*(DD3:DD54="W"))+SUMPRODUCT((CZ3:CZ54=U71)*(DC3:DC54=U74)*(DD3:DD54="W"))+SUMPRODUCT((CZ3:CZ54=U71)*(DC3:DC54=U70)*(DD3:DD54="W"))+SUMPRODUCT((CZ3:CZ54=U72)*(DC3:DC54=U71)*(DE3:DE54="W"))+SUMPRODUCT((CZ3:CZ54=U73)*(DC3:DC54=U71)*(DE3:DE54="W"))+SUMPRODUCT((CZ3:CZ54=U74)*(DC3:DC54=U71)*(DE3:DE54="W"))+SUMPRODUCT((CZ3:CZ54=U70)*(DC3:DC54=U71)*(DE3:DE54="W"))</f>
        <v>0</v>
      </c>
      <c r="W71" s="194">
        <f>SUMPRODUCT((CZ3:CZ54=U71)*(DC3:DC54=U72)*(DD3:DD54="D"))+SUMPRODUCT((CZ3:CZ54=U71)*(DC3:DC54=U73)*(DD3:DD54="D"))+SUMPRODUCT((CZ3:CZ54=U71)*(DC3:DC54=U74)*(DD3:DD54="D"))+SUMPRODUCT((CZ3:CZ54=U71)*(DC3:DC54=U70)*(DD3:DD54="D"))+SUMPRODUCT((CZ3:CZ54=U72)*(DC3:DC54=U71)*(DD3:DD54="D"))+SUMPRODUCT((CZ3:CZ54=U73)*(DC3:DC54=U71)*(DD3:DD54="D"))+SUMPRODUCT((CZ3:CZ54=U74)*(DC3:DC54=U71)*(DD3:DD54="D"))+SUMPRODUCT((CZ3:CZ54=U70)*(DC3:DC54=U71)*(DD3:DD54="D"))</f>
        <v>0</v>
      </c>
      <c r="X71" s="194">
        <f>SUMPRODUCT((CZ3:CZ54=U71)*(DC3:DC54=U72)*(DD3:DD54="L"))+SUMPRODUCT((CZ3:CZ54=U71)*(DC3:DC54=U73)*(DD3:DD54="L"))+SUMPRODUCT((CZ3:CZ54=U71)*(DC3:DC54=U74)*(DD3:DD54="L"))+SUMPRODUCT((CZ3:CZ54=U71)*(DC3:DC54=U70)*(DD3:DD54="L"))+SUMPRODUCT((CZ3:CZ54=U72)*(DC3:DC54=U71)*(DE3:DE54="L"))+SUMPRODUCT((CZ3:CZ54=U73)*(DC3:DC54=U71)*(DE3:DE54="L"))+SUMPRODUCT((CZ3:CZ54=U74)*(DC3:DC54=U71)*(DE3:DE54="L"))+SUMPRODUCT((CZ3:CZ54=U70)*(DC3:DC54=U71)*(DE3:DE54="L"))</f>
        <v>0</v>
      </c>
      <c r="Y71" s="194">
        <f>SUMPRODUCT((CZ3:CZ54=U71)*(DC3:DC54=U72)*DA3:DA54)+SUMPRODUCT((CZ3:CZ54=U71)*(DC3:DC54=U73)*DA3:DA54)+SUMPRODUCT((CZ3:CZ54=U71)*(DC3:DC54=U74)*DA3:DA54)+SUMPRODUCT((CZ3:CZ54=U71)*(DC3:DC54=U70)*DA3:DA54)+SUMPRODUCT((CZ3:CZ54=U72)*(DC3:DC54=U71)*DB3:DB54)+SUMPRODUCT((CZ3:CZ54=U73)*(DC3:DC54=U71)*DB3:DB54)+SUMPRODUCT((CZ3:CZ54=U74)*(DC3:DC54=U71)*DB3:DB54)+SUMPRODUCT((CZ3:CZ54=U70)*(DC3:DC54=U71)*DB3:DB54)</f>
        <v>0</v>
      </c>
      <c r="Z71" s="194">
        <f>SUMPRODUCT((CZ3:CZ54=U71)*(DC3:DC54=U72)*DB3:DB54)+SUMPRODUCT((CZ3:CZ54=U71)*(DC3:DC54=U73)*DB3:DB54)+SUMPRODUCT((CZ3:CZ54=U71)*(DC3:DC54=U74)*DB3:DB54)+SUMPRODUCT((CZ3:CZ54=U71)*(DC3:DC54=U70)*DB3:DB54)+SUMPRODUCT((CZ3:CZ54=U72)*(DC3:DC54=U71)*DA3:DA54)+SUMPRODUCT((CZ3:CZ54=U73)*(DC3:DC54=U71)*DA3:DA54)+SUMPRODUCT((CZ3:CZ54=U74)*(DC3:DC54=U71)*DA3:DA54)+SUMPRODUCT((CZ3:CZ54=U70)*(DC3:DC54=U71)*DA3:DA54)</f>
        <v>0</v>
      </c>
      <c r="AA71" s="194">
        <f>Y71-Z71+1000</f>
        <v>1000</v>
      </c>
      <c r="AB71" s="194">
        <f t="shared" ref="AB71:AB73" si="112">IF(U71&lt;&gt;"",V71*3+W71*1,"")</f>
        <v>0</v>
      </c>
      <c r="AC71" s="194">
        <f>IF(U71&lt;&gt;"",VLOOKUP(U71,B4:H52,7,FALSE),"")</f>
        <v>1000</v>
      </c>
      <c r="AD71" s="194">
        <f>IF(U71&lt;&gt;"",VLOOKUP(U71,B4:H52,5,FALSE),"")</f>
        <v>0</v>
      </c>
      <c r="AE71" s="194">
        <f>IF(U71&lt;&gt;"",VLOOKUP(U71,B4:J52,9,FALSE),"")</f>
        <v>14</v>
      </c>
      <c r="AF71" s="194">
        <f t="shared" ref="AF71:AF73" si="113">AB71</f>
        <v>0</v>
      </c>
      <c r="AG71" s="194">
        <f>IF(U71&lt;&gt;"",RANK(AF71,AF70:AF73),"")</f>
        <v>1</v>
      </c>
      <c r="AH71" s="194">
        <f>IF(U71&lt;&gt;"",SUMPRODUCT((AF70:AF73=AF71)*(AA70:AA73&gt;AA71)),"")</f>
        <v>0</v>
      </c>
      <c r="AI71" s="194">
        <f>IF(U71&lt;&gt;"",SUMPRODUCT((AF70:AF73=AF71)*(AA70:AA73=AA71)*(Y70:Y73&gt;Y71)),"")</f>
        <v>0</v>
      </c>
      <c r="AJ71" s="194">
        <f>IF(U71&lt;&gt;"",SUMPRODUCT((AF70:AF73=AF71)*(AA70:AA73=AA71)*(Y70:Y73=Y71)*(AC70:AC73&gt;AC71)),"")</f>
        <v>0</v>
      </c>
      <c r="AK71" s="194">
        <f>IF(U71&lt;&gt;"",SUMPRODUCT((AF70:AF73=AF71)*(AA70:AA73=AA71)*(Y70:Y73=Y71)*(AC70:AC73=AC71)*(AD70:AD73&gt;AD71)),"")</f>
        <v>0</v>
      </c>
      <c r="AL71" s="194">
        <f>IF(U71&lt;&gt;"",SUMPRODUCT((AF70:AF73=AF71)*(AA70:AA73=AA71)*(Y70:Y73=Y71)*(AC70:AC73=AC71)*(AD70:AD73=AD71)*(AE70:AE73&gt;AE71)),"")</f>
        <v>2</v>
      </c>
      <c r="AM71" s="194">
        <f>IF(U71&lt;&gt;"",SUM(AG71:AL71),"")</f>
        <v>3</v>
      </c>
      <c r="AN71" s="194" t="str">
        <f>IF(AO19&lt;&gt;"",SUMPRODUCT((AV18:AV21=AV19)*(AU18:AU21=AU19)*(AS18:AS21=AS19)*(AT18:AT21=AT19)),"")</f>
        <v/>
      </c>
      <c r="AO71" s="194" t="str">
        <f>IF(AND(AN71&lt;&gt;"",AN71&gt;1),AO19,"")</f>
        <v/>
      </c>
      <c r="AP71" s="194">
        <f>SUMPRODUCT((CZ3:CZ54=AO71)*(DC3:DC54=AO72)*(DD3:DD54="W"))+SUMPRODUCT((CZ3:CZ54=AO71)*(DC3:DC54=AO73)*(DD3:DD54="W"))+SUMPRODUCT((CZ3:CZ54=AO71)*(DC3:DC54=AO74)*(DD3:DD54="W"))+SUMPRODUCT((CZ3:CZ54=AO72)*(DC3:DC54=AO71)*(DE3:DE54="W"))+SUMPRODUCT((CZ3:CZ54=AO73)*(DC3:DC54=AO71)*(DE3:DE54="W"))+SUMPRODUCT((CZ3:CZ54=AO74)*(DC3:DC54=AO71)*(DE3:DE54="W"))</f>
        <v>0</v>
      </c>
      <c r="AQ71" s="194">
        <f>SUMPRODUCT((CZ3:CZ54=AO71)*(DC3:DC54=AO72)*(DD3:DD54="D"))+SUMPRODUCT((CZ3:CZ54=AO71)*(DC3:DC54=AO73)*(DD3:DD54="D"))+SUMPRODUCT((CZ3:CZ54=AO71)*(DC3:DC54=AO74)*(DD3:DD54="D"))+SUMPRODUCT((CZ3:CZ54=AO72)*(DC3:DC54=AO71)*(DD3:DD54="D"))+SUMPRODUCT((CZ3:CZ54=AO73)*(DC3:DC54=AO71)*(DD3:DD54="D"))+SUMPRODUCT((CZ3:CZ54=AO74)*(DC3:DC54=AO71)*(DD3:DD54="D"))</f>
        <v>0</v>
      </c>
      <c r="AR71" s="194">
        <f>SUMPRODUCT((CZ3:CZ54=AO71)*(DC3:DC54=AO72)*(DD3:DD54="L"))+SUMPRODUCT((CZ3:CZ54=AO71)*(DC3:DC54=AO73)*(DD3:DD54="L"))+SUMPRODUCT((CZ3:CZ54=AO71)*(DC3:DC54=AO74)*(DD3:DD54="L"))+SUMPRODUCT((CZ3:CZ54=AO72)*(DC3:DC54=AO71)*(DE3:DE54="L"))+SUMPRODUCT((CZ3:CZ54=AO73)*(DC3:DC54=AO71)*(DE3:DE54="L"))+SUMPRODUCT((CZ3:CZ54=AO74)*(DC3:DC54=AO71)*(DE3:DE54="L"))</f>
        <v>0</v>
      </c>
      <c r="AS71" s="194">
        <f>SUMPRODUCT((CZ3:CZ54=AO71)*(DC3:DC54=AO72)*DA3:DA54)+SUMPRODUCT((CZ3:CZ54=AO71)*(DC3:DC54=AO73)*DA3:DA54)+SUMPRODUCT((CZ3:CZ54=AO71)*(DC3:DC54=AO74)*DA3:DA54)+SUMPRODUCT((CZ3:CZ54=AO71)*(DC3:DC54=AO70)*DA3:DA54)+SUMPRODUCT((CZ3:CZ54=AO72)*(DC3:DC54=AO71)*DB3:DB54)+SUMPRODUCT((CZ3:CZ54=AO73)*(DC3:DC54=AO71)*DB3:DB54)+SUMPRODUCT((CZ3:CZ54=AO74)*(DC3:DC54=AO71)*DB3:DB54)+SUMPRODUCT((CZ3:CZ54=AO70)*(DC3:DC54=AO71)*DB3:DB54)</f>
        <v>0</v>
      </c>
      <c r="AT71" s="194">
        <f>SUMPRODUCT((CZ3:CZ54=AO71)*(DC3:DC54=AO72)*DB3:DB54)+SUMPRODUCT((CZ3:CZ54=AO71)*(DC3:DC54=AO73)*DB3:DB54)+SUMPRODUCT((CZ3:CZ54=AO71)*(DC3:DC54=AO74)*DB3:DB54)+SUMPRODUCT((CZ3:CZ54=AO71)*(DC3:DC54=AO70)*DB3:DB54)+SUMPRODUCT((CZ3:CZ54=AO72)*(DC3:DC54=AO71)*DA3:DA54)+SUMPRODUCT((CZ3:CZ54=AO73)*(DC3:DC54=AO71)*DA3:DA54)+SUMPRODUCT((CZ3:CZ54=AO74)*(DC3:DC54=AO71)*DA3:DA54)+SUMPRODUCT((CZ3:CZ54=AO70)*(DC3:DC54=AO71)*DA3:DA54)</f>
        <v>0</v>
      </c>
      <c r="AU71" s="194">
        <f>AS71-AT71+1000</f>
        <v>1000</v>
      </c>
      <c r="AV71" s="194" t="str">
        <f t="shared" ref="AV71:AV73" si="114">IF(AO71&lt;&gt;"",AP71*3+AQ71*1,"")</f>
        <v/>
      </c>
      <c r="AW71" s="194" t="str">
        <f>IF(AO71&lt;&gt;"",VLOOKUP(AO71,B4:H52,7,FALSE),"")</f>
        <v/>
      </c>
      <c r="AX71" s="194" t="str">
        <f>IF(AO71&lt;&gt;"",VLOOKUP(AO71,B4:H52,5,FALSE),"")</f>
        <v/>
      </c>
      <c r="AY71" s="194" t="str">
        <f>IF(AO71&lt;&gt;"",VLOOKUP(AO71,B4:J52,9,FALSE),"")</f>
        <v/>
      </c>
      <c r="AZ71" s="194" t="str">
        <f t="shared" ref="AZ71:AZ73" si="115">AV71</f>
        <v/>
      </c>
      <c r="BA71" s="194" t="str">
        <f>IF(AO71&lt;&gt;"",RANK(AZ71,AZ70:AZ73),"")</f>
        <v/>
      </c>
      <c r="BB71" s="194" t="str">
        <f>IF(AO71&lt;&gt;"",SUMPRODUCT((AZ70:AZ73=AZ71)*(AU70:AU73&gt;AU71)),"")</f>
        <v/>
      </c>
      <c r="BC71" s="194" t="str">
        <f>IF(AO71&lt;&gt;"",SUMPRODUCT((AZ70:AZ73=AZ71)*(AU70:AU73=AU71)*(AS70:AS73&gt;AS71)),"")</f>
        <v/>
      </c>
      <c r="BD71" s="194" t="str">
        <f>IF(AO71&lt;&gt;"",SUMPRODUCT((AZ70:AZ73=AZ71)*(AU70:AU73=AU71)*(AS70:AS73=AS71)*(AW70:AW73&gt;AW71)),"")</f>
        <v/>
      </c>
      <c r="BE71" s="194" t="str">
        <f>IF(AO71&lt;&gt;"",SUMPRODUCT((AZ70:AZ73=AZ71)*(AU70:AU73=AU71)*(AS70:AS73=AS71)*(AW70:AW73=AW71)*(AX70:AX73&gt;AX71)),"")</f>
        <v/>
      </c>
      <c r="BF71" s="194" t="str">
        <f>IF(AO71&lt;&gt;"",SUMPRODUCT((AZ70:AZ73=AZ71)*(AU70:AU73=AU71)*(AS70:AS73=AS71)*(AW70:AW73=AW71)*(AX70:AX73=AX71)*(AY70:AY73&gt;AY71)),"")</f>
        <v/>
      </c>
      <c r="BG71" s="194" t="str">
        <f>IF(AO71&lt;&gt;"",SUM(BA71:BF71)+1,"")</f>
        <v/>
      </c>
      <c r="DR71" s="196">
        <f>Matches!Q82</f>
        <v>0</v>
      </c>
      <c r="DT71" s="196" t="str">
        <f>IF(ISERROR("Calculator!"&amp;VLOOKUP(DR71,Calculator!DR7:DS38,2,FALSE)),"Calculator!dq77","Calculator!"&amp;VLOOKUP(DR71,Calculator!DR7:DS38,2,FALSE))</f>
        <v>Calculator!dq77</v>
      </c>
      <c r="DW71" s="20"/>
      <c r="DX71" s="20"/>
      <c r="DY71" s="20"/>
      <c r="DZ71" s="198"/>
      <c r="EA71" s="20"/>
      <c r="EB71" s="20"/>
    </row>
    <row r="72" spans="6:132" x14ac:dyDescent="0.25">
      <c r="F72" s="194">
        <v>1</v>
      </c>
      <c r="G72" s="194">
        <v>1</v>
      </c>
      <c r="H72" s="194">
        <v>1</v>
      </c>
      <c r="I72" s="194">
        <f>IF(COUNTIF(I18:I21,4)=4,1,SUMPRODUCT((I18:I21=I20)*(H18:H21=H20)*(F18:F21&gt;F20))+1)</f>
        <v>1</v>
      </c>
      <c r="S72" s="194">
        <v>2</v>
      </c>
      <c r="T72" s="194">
        <f>IF(U20&lt;&gt;"",SUMPRODUCT((AB18:AB21=AB20)*(AA18:AA21=AA20)*(Y18:Y21=Y20)*(Z18:Z21=Z20)),"")</f>
        <v>4</v>
      </c>
      <c r="U72" s="194" t="str">
        <f>IF(AND(T72&lt;&gt;"",T72&gt;1),U20,"")</f>
        <v>Benfica</v>
      </c>
      <c r="V72" s="194">
        <f>SUMPRODUCT((CZ3:CZ54=U72)*(DC3:DC54=U73)*(DD3:DD54="W"))+SUMPRODUCT((CZ3:CZ54=U72)*(DC3:DC54=U74)*(DD3:DD54="W"))+SUMPRODUCT((CZ3:CZ54=U72)*(DC3:DC54=U70)*(DD3:DD54="W"))+SUMPRODUCT((CZ3:CZ54=U72)*(DC3:DC54=U71)*(DD3:DD54="W"))+SUMPRODUCT((CZ3:CZ54=U73)*(DC3:DC54=U72)*(DE3:DE54="W"))+SUMPRODUCT((CZ3:CZ54=U74)*(DC3:DC54=U72)*(DE3:DE54="W"))+SUMPRODUCT((CZ3:CZ54=U70)*(DC3:DC54=U72)*(DE3:DE54="W"))+SUMPRODUCT((CZ3:CZ54=U71)*(DC3:DC54=U72)*(DE3:DE54="W"))</f>
        <v>0</v>
      </c>
      <c r="W72" s="194">
        <f>SUMPRODUCT((CZ3:CZ54=U72)*(DC3:DC54=U73)*(DD3:DD54="D"))+SUMPRODUCT((CZ3:CZ54=U72)*(DC3:DC54=U74)*(DD3:DD54="D"))+SUMPRODUCT((CZ3:CZ54=U72)*(DC3:DC54=U70)*(DD3:DD54="D"))+SUMPRODUCT((CZ3:CZ54=U72)*(DC3:DC54=U71)*(DD3:DD54="D"))+SUMPRODUCT((CZ3:CZ54=U73)*(DC3:DC54=U72)*(DD3:DD54="D"))+SUMPRODUCT((CZ3:CZ54=U74)*(DC3:DC54=U72)*(DD3:DD54="D"))+SUMPRODUCT((CZ3:CZ54=U70)*(DC3:DC54=U72)*(DD3:DD54="D"))+SUMPRODUCT((CZ3:CZ54=U71)*(DC3:DC54=U72)*(DD3:DD54="D"))</f>
        <v>0</v>
      </c>
      <c r="X72" s="194">
        <f>SUMPRODUCT((CZ3:CZ54=U72)*(DC3:DC54=U73)*(DD3:DD54="L"))+SUMPRODUCT((CZ3:CZ54=U72)*(DC3:DC54=U74)*(DD3:DD54="L"))+SUMPRODUCT((CZ3:CZ54=U72)*(DC3:DC54=U70)*(DD3:DD54="L"))+SUMPRODUCT((CZ3:CZ54=U72)*(DC3:DC54=U71)*(DD3:DD54="L"))+SUMPRODUCT((CZ3:CZ54=U73)*(DC3:DC54=U72)*(DE3:DE54="L"))+SUMPRODUCT((CZ3:CZ54=U74)*(DC3:DC54=U72)*(DE3:DE54="L"))+SUMPRODUCT((CZ3:CZ54=U70)*(DC3:DC54=U72)*(DE3:DE54="L"))+SUMPRODUCT((CZ3:CZ54=U71)*(DC3:DC54=U72)*(DE3:DE54="L"))</f>
        <v>0</v>
      </c>
      <c r="Y72" s="194">
        <f>SUMPRODUCT((CZ3:CZ54=U72)*(DC3:DC54=U73)*DA3:DA54)+SUMPRODUCT((CZ3:CZ54=U72)*(DC3:DC54=U74)*DA3:DA54)+SUMPRODUCT((CZ3:CZ54=U72)*(DC3:DC54=U70)*DA3:DA54)+SUMPRODUCT((CZ3:CZ54=U72)*(DC3:DC54=U71)*DA3:DA54)+SUMPRODUCT((CZ3:CZ54=U73)*(DC3:DC54=U72)*DB3:DB54)+SUMPRODUCT((CZ3:CZ54=U74)*(DC3:DC54=U72)*DB3:DB54)+SUMPRODUCT((CZ3:CZ54=U70)*(DC3:DC54=U72)*DB3:DB54)+SUMPRODUCT((CZ3:CZ54=U71)*(DC3:DC54=U72)*DB3:DB54)</f>
        <v>0</v>
      </c>
      <c r="Z72" s="194">
        <f>SUMPRODUCT((CZ3:CZ54=U72)*(DC3:DC54=U73)*DB3:DB54)+SUMPRODUCT((CZ3:CZ54=U72)*(DC3:DC54=U74)*DB3:DB54)+SUMPRODUCT((CZ3:CZ54=U72)*(DC3:DC54=U70)*DB3:DB54)+SUMPRODUCT((CZ3:CZ54=U72)*(DC3:DC54=U71)*DB3:DB54)+SUMPRODUCT((CZ3:CZ54=U73)*(DC3:DC54=U72)*DA3:DA54)+SUMPRODUCT((CZ3:CZ54=U74)*(DC3:DC54=U72)*DA3:DA54)+SUMPRODUCT((CZ3:CZ54=U70)*(DC3:DC54=U72)*DA3:DA54)+SUMPRODUCT((CZ3:CZ54=U71)*(DC3:DC54=U72)*DA3:DA54)</f>
        <v>0</v>
      </c>
      <c r="AA72" s="194">
        <f>Y72-Z72+1000</f>
        <v>1000</v>
      </c>
      <c r="AB72" s="194">
        <f t="shared" si="112"/>
        <v>0</v>
      </c>
      <c r="AC72" s="194">
        <f>IF(U72&lt;&gt;"",VLOOKUP(U72,B4:H52,7,FALSE),"")</f>
        <v>1000</v>
      </c>
      <c r="AD72" s="194">
        <f>IF(U72&lt;&gt;"",VLOOKUP(U72,B4:H52,5,FALSE),"")</f>
        <v>0</v>
      </c>
      <c r="AE72" s="194">
        <f>IF(U72&lt;&gt;"",VLOOKUP(U72,B4:J52,9,FALSE),"")</f>
        <v>22</v>
      </c>
      <c r="AF72" s="194">
        <f t="shared" si="113"/>
        <v>0</v>
      </c>
      <c r="AG72" s="194">
        <f>IF(U72&lt;&gt;"",RANK(AF72,AF70:AF73),"")</f>
        <v>1</v>
      </c>
      <c r="AH72" s="194">
        <f>IF(U72&lt;&gt;"",SUMPRODUCT((AF70:AF73=AF72)*(AA70:AA73&gt;AA72)),"")</f>
        <v>0</v>
      </c>
      <c r="AI72" s="194">
        <f>IF(U72&lt;&gt;"",SUMPRODUCT((AF70:AF73=AF72)*(AA70:AA73=AA72)*(Y70:Y73&gt;Y72)),"")</f>
        <v>0</v>
      </c>
      <c r="AJ72" s="194">
        <f>IF(U72&lt;&gt;"",SUMPRODUCT((AF70:AF73=AF72)*(AA70:AA73=AA72)*(Y70:Y73=Y72)*(AC70:AC73&gt;AC72)),"")</f>
        <v>0</v>
      </c>
      <c r="AK72" s="194">
        <f>IF(U72&lt;&gt;"",SUMPRODUCT((AF70:AF73=AF72)*(AA70:AA73=AA72)*(Y70:Y73=Y72)*(AC70:AC73=AC72)*(AD70:AD73&gt;AD72)),"")</f>
        <v>0</v>
      </c>
      <c r="AL72" s="194">
        <f>IF(U72&lt;&gt;"",SUMPRODUCT((AF70:AF73=AF72)*(AA70:AA73=AA72)*(Y70:Y73=Y72)*(AC70:AC73=AC72)*(AD70:AD73=AD72)*(AE70:AE73&gt;AE72)),"")</f>
        <v>1</v>
      </c>
      <c r="AM72" s="194">
        <f>IF(U72&lt;&gt;"",SUM(AG72:AL72),"")</f>
        <v>2</v>
      </c>
      <c r="AN72" s="194" t="str">
        <f>IF(AO20&lt;&gt;"",SUMPRODUCT((AV18:AV21=AV20)*(AU18:AU21=AU20)*(AS18:AS21=AS20)*(AT18:AT21=AT20)),"")</f>
        <v/>
      </c>
      <c r="AO72" s="194" t="str">
        <f>IF(AND(AN72&lt;&gt;"",AN72&gt;1),AO20,"")</f>
        <v/>
      </c>
      <c r="AP72" s="194">
        <f>SUMPRODUCT((CZ3:CZ54=AO72)*(DC3:DC54=AO73)*(DD3:DD54="W"))+SUMPRODUCT((CZ3:CZ54=AO72)*(DC3:DC54=AO74)*(DD3:DD54="W"))+SUMPRODUCT((CZ3:CZ54=AO72)*(DC3:DC54=AO71)*(DD3:DD54="W"))+SUMPRODUCT((CZ3:CZ54=AO73)*(DC3:DC54=AO72)*(DE3:DE54="W"))+SUMPRODUCT((CZ3:CZ54=AO74)*(DC3:DC54=AO72)*(DE3:DE54="W"))+SUMPRODUCT((CZ3:CZ54=AO71)*(DC3:DC54=AO72)*(DE3:DE54="W"))</f>
        <v>0</v>
      </c>
      <c r="AQ72" s="194">
        <f>SUMPRODUCT((CZ3:CZ54=AO72)*(DC3:DC54=AO73)*(DD3:DD54="D"))+SUMPRODUCT((CZ3:CZ54=AO72)*(DC3:DC54=AO74)*(DD3:DD54="D"))+SUMPRODUCT((CZ3:CZ54=AO72)*(DC3:DC54=AO71)*(DD3:DD54="D"))+SUMPRODUCT((CZ3:CZ54=AO73)*(DC3:DC54=AO72)*(DD3:DD54="D"))+SUMPRODUCT((CZ3:CZ54=AO74)*(DC3:DC54=AO72)*(DD3:DD54="D"))+SUMPRODUCT((CZ3:CZ54=AO71)*(DC3:DC54=AO72)*(DD3:DD54="D"))</f>
        <v>0</v>
      </c>
      <c r="AR72" s="194">
        <f>SUMPRODUCT((CZ3:CZ54=AO72)*(DC3:DC54=AO73)*(DD3:DD54="L"))+SUMPRODUCT((CZ3:CZ54=AO72)*(DC3:DC54=AO74)*(DD3:DD54="L"))+SUMPRODUCT((CZ3:CZ54=AO72)*(DC3:DC54=AO71)*(DD3:DD54="L"))+SUMPRODUCT((CZ3:CZ54=AO73)*(DC3:DC54=AO72)*(DE3:DE54="L"))+SUMPRODUCT((CZ3:CZ54=AO74)*(DC3:DC54=AO72)*(DE3:DE54="L"))+SUMPRODUCT((CZ3:CZ54=AO71)*(DC3:DC54=AO72)*(DE3:DE54="L"))</f>
        <v>0</v>
      </c>
      <c r="AS72" s="194">
        <f>SUMPRODUCT((CZ3:CZ54=AO72)*(DC3:DC54=AO73)*DA3:DA54)+SUMPRODUCT((CZ3:CZ54=AO72)*(DC3:DC54=AO74)*DA3:DA54)+SUMPRODUCT((CZ3:CZ54=AO72)*(DC3:DC54=AO70)*DA3:DA54)+SUMPRODUCT((CZ3:CZ54=AO72)*(DC3:DC54=AO71)*DA3:DA54)+SUMPRODUCT((CZ3:CZ54=AO73)*(DC3:DC54=AO72)*DB3:DB54)+SUMPRODUCT((CZ3:CZ54=AO74)*(DC3:DC54=AO72)*DB3:DB54)+SUMPRODUCT((CZ3:CZ54=AO70)*(DC3:DC54=AO72)*DB3:DB54)+SUMPRODUCT((CZ3:CZ54=AO71)*(DC3:DC54=AO72)*DB3:DB54)</f>
        <v>0</v>
      </c>
      <c r="AT72" s="194">
        <f>SUMPRODUCT((CZ3:CZ54=AO72)*(DC3:DC54=AO73)*DB3:DB54)+SUMPRODUCT((CZ3:CZ54=AO72)*(DC3:DC54=AO74)*DB3:DB54)+SUMPRODUCT((CZ3:CZ54=AO72)*(DC3:DC54=AO70)*DB3:DB54)+SUMPRODUCT((CZ3:CZ54=AO72)*(DC3:DC54=AO71)*DB3:DB54)+SUMPRODUCT((CZ3:CZ54=AO73)*(DC3:DC54=AO72)*DA3:DA54)+SUMPRODUCT((CZ3:CZ54=AO74)*(DC3:DC54=AO72)*DA3:DA54)+SUMPRODUCT((CZ3:CZ54=AO70)*(DC3:DC54=AO72)*DA3:DA54)+SUMPRODUCT((CZ3:CZ54=AO71)*(DC3:DC54=AO72)*DA3:DA54)</f>
        <v>0</v>
      </c>
      <c r="AU72" s="194">
        <f>AS72-AT72+1000</f>
        <v>1000</v>
      </c>
      <c r="AV72" s="194" t="str">
        <f t="shared" si="114"/>
        <v/>
      </c>
      <c r="AW72" s="194" t="str">
        <f>IF(AO72&lt;&gt;"",VLOOKUP(AO72,B4:H52,7,FALSE),"")</f>
        <v/>
      </c>
      <c r="AX72" s="194" t="str">
        <f>IF(AO72&lt;&gt;"",VLOOKUP(AO72,B4:H52,5,FALSE),"")</f>
        <v/>
      </c>
      <c r="AY72" s="194" t="str">
        <f>IF(AO72&lt;&gt;"",VLOOKUP(AO72,B4:J52,9,FALSE),"")</f>
        <v/>
      </c>
      <c r="AZ72" s="194" t="str">
        <f t="shared" si="115"/>
        <v/>
      </c>
      <c r="BA72" s="194" t="str">
        <f>IF(AO72&lt;&gt;"",RANK(AZ72,AZ70:AZ73),"")</f>
        <v/>
      </c>
      <c r="BB72" s="194" t="str">
        <f>IF(AO72&lt;&gt;"",SUMPRODUCT((AZ70:AZ73=AZ72)*(AU70:AU73&gt;AU72)),"")</f>
        <v/>
      </c>
      <c r="BC72" s="194" t="str">
        <f>IF(AO72&lt;&gt;"",SUMPRODUCT((AZ70:AZ73=AZ72)*(AU70:AU73=AU72)*(AS70:AS73&gt;AS72)),"")</f>
        <v/>
      </c>
      <c r="BD72" s="194" t="str">
        <f>IF(AO72&lt;&gt;"",SUMPRODUCT((AZ70:AZ73=AZ72)*(AU70:AU73=AU72)*(AS70:AS73=AS72)*(AW70:AW73&gt;AW72)),"")</f>
        <v/>
      </c>
      <c r="BE72" s="194" t="str">
        <f>IF(AO72&lt;&gt;"",SUMPRODUCT((AZ70:AZ73=AZ72)*(AU70:AU73=AU72)*(AS70:AS73=AS72)*(AW70:AW73=AW72)*(AX70:AX73&gt;AX72)),"")</f>
        <v/>
      </c>
      <c r="BF72" s="194" t="str">
        <f>IF(AO72&lt;&gt;"",SUMPRODUCT((AZ70:AZ73=AZ72)*(AU70:AU73=AU72)*(AS70:AS73=AS72)*(AW70:AW73=AW72)*(AX70:AX73=AX72)*(AY70:AY73&gt;AY72)),"")</f>
        <v/>
      </c>
      <c r="BG72" s="194" t="str">
        <f t="shared" ref="BG72:BG73" si="116">IF(AO72&lt;&gt;"",SUM(BA72:BF72)+1,"")</f>
        <v/>
      </c>
      <c r="DR72" s="196" t="str">
        <f>Matches!T57</f>
        <v>CLUB WORLD CUP 2025 CHAMPION</v>
      </c>
      <c r="DT72" s="196" t="str">
        <f>IF(ISERROR("Calculator!"&amp;VLOOKUP(DR72,Calculator!DR7:DS38,2,FALSE)),"Calculator!dq77","Calculator!"&amp;VLOOKUP(DR72,Calculator!DR7:DS38,2,FALSE))</f>
        <v>Calculator!dq77</v>
      </c>
      <c r="DW72" s="20"/>
      <c r="DX72" s="20"/>
      <c r="DY72" s="20"/>
      <c r="DZ72" s="198"/>
      <c r="EA72" s="20"/>
      <c r="EB72" s="20"/>
    </row>
    <row r="73" spans="6:132" x14ac:dyDescent="0.25">
      <c r="F73" s="194">
        <v>1</v>
      </c>
      <c r="G73" s="194">
        <v>1</v>
      </c>
      <c r="H73" s="194">
        <v>1</v>
      </c>
      <c r="I73" s="194">
        <f>IF(COUNTIF(I18:I21,4)=4,1,SUMPRODUCT((I18:I21=I21)*(H18:H21=H21)*(F18:F21&gt;F21))+1)</f>
        <v>1</v>
      </c>
      <c r="S73" s="194">
        <v>1</v>
      </c>
      <c r="T73" s="194">
        <f>IF(U21&lt;&gt;"",SUMPRODUCT((AB18:AB21=AB21)*(AA18:AA21=AA21)*(Y18:Y21=Y21)*(Z18:Z21=Z21)),"")</f>
        <v>4</v>
      </c>
      <c r="U73" s="194" t="str">
        <f>IF(AND(T73&lt;&gt;"",T73&gt;1),U21,"")</f>
        <v>Bayern Munich</v>
      </c>
      <c r="V73" s="194">
        <f>SUMPRODUCT((CZ3:CZ54=U73)*(DC3:DC54=U74)*(DD3:DD54="W"))+SUMPRODUCT((CZ3:CZ54=U73)*(DC3:DC54=U70)*(DD3:DD54="W"))+SUMPRODUCT((CZ3:CZ54=U73)*(DC3:DC54=U71)*(DD3:DD54="W"))+SUMPRODUCT((CZ3:CZ54=U73)*(DC3:DC54=U72)*(DD3:DD54="W"))+SUMPRODUCT((CZ3:CZ54=U74)*(DC3:DC54=U73)*(DE3:DE54="W"))+SUMPRODUCT((CZ3:CZ54=U70)*(DC3:DC54=U73)*(DE3:DE54="W"))+SUMPRODUCT((CZ3:CZ54=U71)*(DC3:DC54=U73)*(DE3:DE54="W"))+SUMPRODUCT((CZ3:CZ54=U72)*(DC3:DC54=U73)*(DE3:DE54="W"))</f>
        <v>0</v>
      </c>
      <c r="W73" s="194">
        <f>SUMPRODUCT((CZ3:CZ54=U73)*(DC3:DC54=U74)*(DD3:DD54="D"))+SUMPRODUCT((CZ3:CZ54=U73)*(DC3:DC54=U70)*(DD3:DD54="D"))+SUMPRODUCT((CZ3:CZ54=U73)*(DC3:DC54=U71)*(DD3:DD54="D"))+SUMPRODUCT((CZ3:CZ54=U73)*(DC3:DC54=U72)*(DD3:DD54="D"))+SUMPRODUCT((CZ3:CZ54=U74)*(DC3:DC54=U73)*(DD3:DD54="D"))+SUMPRODUCT((CZ3:CZ54=U70)*(DC3:DC54=U73)*(DD3:DD54="D"))+SUMPRODUCT((CZ3:CZ54=U71)*(DC3:DC54=U73)*(DD3:DD54="D"))+SUMPRODUCT((CZ3:CZ54=U72)*(DC3:DC54=U73)*(DD3:DD54="D"))</f>
        <v>0</v>
      </c>
      <c r="X73" s="194">
        <f>SUMPRODUCT((CZ3:CZ54=U73)*(DC3:DC54=U74)*(DD3:DD54="L"))+SUMPRODUCT((CZ3:CZ54=U73)*(DC3:DC54=U70)*(DD3:DD54="L"))+SUMPRODUCT((CZ3:CZ54=U73)*(DC3:DC54=U71)*(DD3:DD54="L"))+SUMPRODUCT((CZ3:CZ54=U73)*(DC3:DC54=U72)*(DD3:DD54="L"))+SUMPRODUCT((CZ3:CZ54=U74)*(DC3:DC54=U73)*(DE3:DE54="L"))+SUMPRODUCT((CZ3:CZ54=U70)*(DC3:DC54=U73)*(DE3:DE54="L"))+SUMPRODUCT((CZ3:CZ54=U71)*(DC3:DC54=U73)*(DE3:DE54="L"))+SUMPRODUCT((CZ3:CZ54=U72)*(DC3:DC54=U73)*(DE3:DE54="L"))</f>
        <v>0</v>
      </c>
      <c r="Y73" s="194">
        <f>SUMPRODUCT((CZ3:CZ54=U73)*(DC3:DC54=U74)*DA3:DA54)+SUMPRODUCT((CZ3:CZ54=U73)*(DC3:DC54=U70)*DA3:DA54)+SUMPRODUCT((CZ3:CZ54=U73)*(DC3:DC54=U71)*DA3:DA54)+SUMPRODUCT((CZ3:CZ54=U73)*(DC3:DC54=U72)*DA3:DA54)+SUMPRODUCT((CZ3:CZ54=U74)*(DC3:DC54=U73)*DB3:DB54)+SUMPRODUCT((CZ3:CZ54=U70)*(DC3:DC54=U73)*DB3:DB54)+SUMPRODUCT((CZ3:CZ54=U71)*(DC3:DC54=U73)*DB3:DB54)+SUMPRODUCT((CZ3:CZ54=U72)*(DC3:DC54=U73)*DB3:DB54)</f>
        <v>0</v>
      </c>
      <c r="Z73" s="194">
        <f>SUMPRODUCT((CZ3:CZ54=U73)*(DC3:DC54=U74)*DB3:DB54)+SUMPRODUCT((CZ3:CZ54=U73)*(DC3:DC54=U70)*DB3:DB54)+SUMPRODUCT((CZ3:CZ54=U73)*(DC3:DC54=U71)*DB3:DB54)+SUMPRODUCT((CZ3:CZ54=U73)*(DC3:DC54=U72)*DB3:DB54)+SUMPRODUCT((CZ3:CZ54=U74)*(DC3:DC54=U73)*DA3:DA54)+SUMPRODUCT((CZ3:CZ54=U70)*(DC3:DC54=U73)*DA3:DA54)+SUMPRODUCT((CZ3:CZ54=U71)*(DC3:DC54=U73)*DA3:DA54)+SUMPRODUCT((CZ3:CZ54=U72)*(DC3:DC54=U73)*DA3:DA54)</f>
        <v>0</v>
      </c>
      <c r="AA73" s="194">
        <f>Y73-Z73+1000</f>
        <v>1000</v>
      </c>
      <c r="AB73" s="194">
        <f t="shared" si="112"/>
        <v>0</v>
      </c>
      <c r="AC73" s="194">
        <f>IF(U73&lt;&gt;"",VLOOKUP(U73,B4:H52,7,FALSE),"")</f>
        <v>1000</v>
      </c>
      <c r="AD73" s="194">
        <f>IF(U73&lt;&gt;"",VLOOKUP(U73,B4:H52,5,FALSE),"")</f>
        <v>0</v>
      </c>
      <c r="AE73" s="194">
        <f>IF(U73&lt;&gt;"",VLOOKUP(U73,B4:J52,9,FALSE),"")</f>
        <v>30</v>
      </c>
      <c r="AF73" s="194">
        <f t="shared" si="113"/>
        <v>0</v>
      </c>
      <c r="AG73" s="194">
        <f>IF(U73&lt;&gt;"",RANK(AF73,AF70:AF73),"")</f>
        <v>1</v>
      </c>
      <c r="AH73" s="194">
        <f>IF(U73&lt;&gt;"",SUMPRODUCT((AF70:AF73=AF73)*(AA70:AA73&gt;AA73)),"")</f>
        <v>0</v>
      </c>
      <c r="AI73" s="194">
        <f>IF(U73&lt;&gt;"",SUMPRODUCT((AF70:AF73=AF73)*(AA70:AA73=AA73)*(Y70:Y73&gt;Y73)),"")</f>
        <v>0</v>
      </c>
      <c r="AJ73" s="194">
        <f>IF(U73&lt;&gt;"",SUMPRODUCT((AF70:AF73=AF73)*(AA70:AA73=AA73)*(Y70:Y73=Y73)*(AC70:AC73&gt;AC73)),"")</f>
        <v>0</v>
      </c>
      <c r="AK73" s="194">
        <f>IF(U73&lt;&gt;"",SUMPRODUCT((AF70:AF73=AF73)*(AA70:AA73=AA73)*(Y70:Y73=Y73)*(AC70:AC73=AC73)*(AD70:AD73&gt;AD73)),"")</f>
        <v>0</v>
      </c>
      <c r="AL73" s="194">
        <f>IF(U73&lt;&gt;"",SUMPRODUCT((AF70:AF73=AF73)*(AA70:AA73=AA73)*(Y70:Y73=Y73)*(AC70:AC73=AC73)*(AD70:AD73=AD73)*(AE70:AE73&gt;AE73)),"")</f>
        <v>0</v>
      </c>
      <c r="AM73" s="194">
        <f>IF(U73&lt;&gt;"",SUM(AG73:AL73),"")</f>
        <v>1</v>
      </c>
      <c r="AN73" s="194" t="str">
        <f>IF(AO21&lt;&gt;"",SUMPRODUCT((AV18:AV21=AV21)*(AU18:AU21=AU21)*(AS18:AS21=AS21)*(AT18:AT21=AT21)),"")</f>
        <v/>
      </c>
      <c r="AO73" s="194" t="str">
        <f>IF(AND(AN73&lt;&gt;"",AN73&gt;1),AO21,"")</f>
        <v/>
      </c>
      <c r="AP73" s="194" t="str">
        <f>IF(AO73&lt;&gt;"",SUMPRODUCT((CZ3:CZ54=AO73)*(DC3:DC54=AO74)*(DD3:DD54="W"))+SUMPRODUCT((CZ3:CZ54=AO73)*(DC3:DC54=AO71)*(DD3:DD54="W"))+SUMPRODUCT((CZ3:CZ54=AO73)*(DC3:DC54=AO72)*(DD3:DD54="W"))+SUMPRODUCT((CZ3:CZ54=AO74)*(DC3:DC54=AO73)*(DE3:DE54="W"))+SUMPRODUCT((CZ3:CZ54=AO71)*(DC3:DC54=AO73)*(DE3:DE54="W"))+SUMPRODUCT((CZ3:CZ54=AO72)*(DC3:DC54=AO73)*(DE3:DE54="W")),"")</f>
        <v/>
      </c>
      <c r="AQ73" s="194" t="str">
        <f>IF(AO73&lt;&gt;"",SUMPRODUCT((CZ3:CZ54=AO73)*(DC3:DC54=AO74)*(DD3:DD54="D"))+SUMPRODUCT((CZ3:CZ54=AO73)*(DC3:DC54=AO71)*(DD3:DD54="D"))+SUMPRODUCT((CZ3:CZ54=AO73)*(DC3:DC54=AO72)*(DD3:DD54="D"))+SUMPRODUCT((CZ3:CZ54=AO74)*(DC3:DC54=AO73)*(DD3:DD54="D"))+SUMPRODUCT((CZ3:CZ54=AO71)*(DC3:DC54=AO73)*(DD3:DD54="D"))+SUMPRODUCT((CZ3:CZ54=AO72)*(DC3:DC54=AO73)*(DD3:DD54="D")),"")</f>
        <v/>
      </c>
      <c r="AR73" s="194" t="str">
        <f>IF(AO73&lt;&gt;"",SUMPRODUCT((CZ3:CZ54=AO73)*(DC3:DC54=AO74)*(DD3:DD54="L"))+SUMPRODUCT((CZ3:CZ54=AO73)*(DC3:DC54=AO71)*(DD3:DD54="L"))+SUMPRODUCT((CZ3:CZ54=AO73)*(DC3:DC54=AO72)*(DD3:DD54="L"))+SUMPRODUCT((CZ3:CZ54=AO74)*(DC3:DC54=AO73)*(DE3:DE54="L"))+SUMPRODUCT((CZ3:CZ54=AO71)*(DC3:DC54=AO73)*(DE3:DE54="L"))+SUMPRODUCT((CZ3:CZ54=AO72)*(DC3:DC54=AO73)*(DE3:DE54="L")),"")</f>
        <v/>
      </c>
      <c r="AS73" s="194">
        <f>SUMPRODUCT((CZ3:CZ54=AO73)*(DC3:DC54=AO74)*DA3:DA54)+SUMPRODUCT((CZ3:CZ54=AO73)*(DC3:DC54=AO70)*DA3:DA54)+SUMPRODUCT((CZ3:CZ54=AO73)*(DC3:DC54=AO71)*DA3:DA54)+SUMPRODUCT((CZ3:CZ54=AO73)*(DC3:DC54=AO72)*DA3:DA54)+SUMPRODUCT((CZ3:CZ54=AO74)*(DC3:DC54=AO73)*DB3:DB54)+SUMPRODUCT((CZ3:CZ54=AO70)*(DC3:DC54=AO73)*DB3:DB54)+SUMPRODUCT((CZ3:CZ54=AO71)*(DC3:DC54=AO73)*DB3:DB54)+SUMPRODUCT((CZ3:CZ54=AO72)*(DC3:DC54=AO73)*DB3:DB54)</f>
        <v>0</v>
      </c>
      <c r="AT73" s="194">
        <f>SUMPRODUCT((CZ3:CZ54=AO73)*(DC3:DC54=AO74)*DB3:DB54)+SUMPRODUCT((CZ3:CZ54=AO73)*(DC3:DC54=AO70)*DB3:DB54)+SUMPRODUCT((CZ3:CZ54=AO73)*(DC3:DC54=AO71)*DB3:DB54)+SUMPRODUCT((CZ3:CZ54=AO73)*(DC3:DC54=AO72)*DB3:DB54)+SUMPRODUCT((CZ3:CZ54=AO74)*(DC3:DC54=AO73)*DA3:DA54)+SUMPRODUCT((CZ3:CZ54=AO70)*(DC3:DC54=AO73)*DA3:DA54)+SUMPRODUCT((CZ3:CZ54=AO71)*(DC3:DC54=AO73)*DA3:DA54)+SUMPRODUCT((CZ3:CZ54=AO72)*(DC3:DC54=AO73)*DA3:DA54)</f>
        <v>0</v>
      </c>
      <c r="AU73" s="194">
        <f>AS73-AT73+1000</f>
        <v>1000</v>
      </c>
      <c r="AV73" s="194" t="str">
        <f t="shared" si="114"/>
        <v/>
      </c>
      <c r="AW73" s="194" t="str">
        <f>IF(AO73&lt;&gt;"",VLOOKUP(AO73,B4:H52,7,FALSE),"")</f>
        <v/>
      </c>
      <c r="AX73" s="194" t="str">
        <f>IF(AO73&lt;&gt;"",VLOOKUP(AO73,B4:H52,5,FALSE),"")</f>
        <v/>
      </c>
      <c r="AY73" s="194" t="str">
        <f>IF(AO73&lt;&gt;"",VLOOKUP(AO73,B4:J52,9,FALSE),"")</f>
        <v/>
      </c>
      <c r="AZ73" s="194" t="str">
        <f t="shared" si="115"/>
        <v/>
      </c>
      <c r="BA73" s="194" t="str">
        <f>IF(AO73&lt;&gt;"",RANK(AZ73,AZ70:AZ73),"")</f>
        <v/>
      </c>
      <c r="BB73" s="194" t="str">
        <f>IF(AO73&lt;&gt;"",SUMPRODUCT((AZ70:AZ73=AZ73)*(AU70:AU73&gt;AU73)),"")</f>
        <v/>
      </c>
      <c r="BC73" s="194" t="str">
        <f>IF(AO73&lt;&gt;"",SUMPRODUCT((AZ70:AZ73=AZ73)*(AU70:AU73=AU73)*(AS70:AS73&gt;AS73)),"")</f>
        <v/>
      </c>
      <c r="BD73" s="194" t="str">
        <f>IF(AO73&lt;&gt;"",SUMPRODUCT((AZ70:AZ73=AZ73)*(AU70:AU73=AU73)*(AS70:AS73=AS73)*(AW70:AW73&gt;AW73)),"")</f>
        <v/>
      </c>
      <c r="BE73" s="194" t="str">
        <f>IF(AO73&lt;&gt;"",SUMPRODUCT((AZ70:AZ73=AZ73)*(AU70:AU73=AU73)*(AS70:AS73=AS73)*(AW70:AW73=AW73)*(AX70:AX73&gt;AX73)),"")</f>
        <v/>
      </c>
      <c r="BF73" s="194" t="str">
        <f>IF(AO73&lt;&gt;"",SUMPRODUCT((AZ70:AZ73=AZ73)*(AU70:AU73=AU73)*(AS70:AS73=AS73)*(AW70:AW73=AW73)*(AX70:AX73=AX73)*(AY70:AY73&gt;AY73)),"")</f>
        <v/>
      </c>
      <c r="BG73" s="194" t="str">
        <f t="shared" si="116"/>
        <v/>
      </c>
      <c r="DR73" s="196" t="str">
        <f>Matches!T64</f>
        <v>CLUB WORLD CUP 2025 RUNNER UP</v>
      </c>
      <c r="DT73" s="196" t="str">
        <f>IF(ISERROR("Calculator!"&amp;VLOOKUP(DR73,Calculator!DR7:DS38,2,FALSE)),"Calculator!dq77","Calculator!"&amp;VLOOKUP(DR73,Calculator!DR7:DS38,2,FALSE))</f>
        <v>Calculator!dq77</v>
      </c>
      <c r="DW73" s="20"/>
      <c r="DX73" s="20"/>
      <c r="DY73" s="20"/>
      <c r="DZ73" s="198"/>
      <c r="EA73" s="20"/>
      <c r="EB73" s="20"/>
    </row>
    <row r="74" spans="6:132" x14ac:dyDescent="0.25">
      <c r="DR74" s="196">
        <f>Matches!T76</f>
        <v>0</v>
      </c>
      <c r="DT74" s="196" t="str">
        <f>IF(ISERROR("Calculator!"&amp;VLOOKUP(DR74,Calculator!DR7:DS38,2,FALSE)),"Calculator!dq77","Calculator!"&amp;VLOOKUP(DR74,Calculator!DR7:DS38,2,FALSE))</f>
        <v>Calculator!dq77</v>
      </c>
      <c r="DW74" s="20"/>
      <c r="DX74" s="20"/>
      <c r="DY74" s="20"/>
      <c r="DZ74" s="198"/>
      <c r="EA74" s="20"/>
      <c r="EB74" s="20"/>
    </row>
    <row r="75" spans="6:132" x14ac:dyDescent="0.25">
      <c r="DW75" s="20"/>
      <c r="DX75" s="20"/>
      <c r="DY75" s="20"/>
      <c r="DZ75" s="198"/>
      <c r="EA75" s="20"/>
      <c r="EB75" s="20"/>
    </row>
    <row r="76" spans="6:132" x14ac:dyDescent="0.25">
      <c r="T76" s="194">
        <f>IF(U77="",SUM(AG25:AL25),IF(U78="",SUM(AG26:AL26),IF(U79="",SUM(AG27:AL27),IF(U80="",SUM(AG28:AL28),0))))</f>
        <v>0</v>
      </c>
      <c r="AN76" s="194">
        <f>IF(AO78="",SUM(BA26:BF26),IF(AO79="",SUM(BA27:BF27),IF(AO80="",SUM(BA28:BF28),0)))</f>
        <v>0</v>
      </c>
      <c r="DW76" s="20"/>
      <c r="DX76" s="20"/>
      <c r="DY76" s="20"/>
      <c r="DZ76" s="198"/>
      <c r="EA76" s="20"/>
      <c r="EB76" s="20"/>
    </row>
    <row r="77" spans="6:132" x14ac:dyDescent="0.25">
      <c r="F77" s="194">
        <v>1</v>
      </c>
      <c r="G77" s="194">
        <v>1</v>
      </c>
      <c r="H77" s="194">
        <v>1</v>
      </c>
      <c r="I77" s="194">
        <f>IF(COUNTIF(I25:I28,4)=4,1,SUMPRODUCT((I25:I28=I25)*(H25:H28=H25)*(F25:F28&gt;F25))+1)</f>
        <v>1</v>
      </c>
      <c r="S77" s="194">
        <v>4</v>
      </c>
      <c r="T77" s="194">
        <f>IF(U25&lt;&gt;"",SUMPRODUCT((AB25:AB28=AB25)*(AA25:AA28=AA25)*(Y25:Y28=Y25)*(Z25:Z28=Z25)),"")</f>
        <v>4</v>
      </c>
      <c r="U77" s="194" t="str">
        <f>IF(AND(T77&lt;&gt;"",T77&gt;1),U25,"")</f>
        <v>Espérance Sportive de Tunis</v>
      </c>
      <c r="V77" s="194">
        <f>SUMPRODUCT((CZ3:CZ54=U77)*(DC3:DC54=U78)*(DD3:DD54="W"))+SUMPRODUCT((CZ3:CZ54=U77)*(DC3:DC54=U79)*(DD3:DD54="W"))+SUMPRODUCT((CZ3:CZ54=U77)*(DC3:DC54=U80)*(DD3:DD54="W"))+SUMPRODUCT((CZ3:CZ54=U77)*(DC3:DC54=U81)*(DD3:DD54="W"))+SUMPRODUCT((CZ3:CZ54=U78)*(DC3:DC54=U77)*(DE3:DE54="W"))+SUMPRODUCT((CZ3:CZ54=U79)*(DC3:DC54=U77)*(DE3:DE54="W"))+SUMPRODUCT((CZ3:CZ54=U80)*(DC3:DC54=U77)*(DE3:DE54="W"))+SUMPRODUCT((CZ3:CZ54=U81)*(DC3:DC54=U77)*(DE3:DE54="W"))</f>
        <v>0</v>
      </c>
      <c r="W77" s="194">
        <f>SUMPRODUCT((CZ3:CZ54=U77)*(DC3:DC54=U78)*(DD3:DD54="D"))+SUMPRODUCT((CZ3:CZ54=U77)*(DC3:DC54=U79)*(DD3:DD54="D"))+SUMPRODUCT((CZ3:CZ54=U77)*(DC3:DC54=U80)*(DD3:DD54="D"))+SUMPRODUCT((CZ3:CZ54=U77)*(DC3:DC54=U81)*(DD3:DD54="D"))+SUMPRODUCT((CZ3:CZ54=U78)*(DC3:DC54=U77)*(DD3:DD54="D"))+SUMPRODUCT((CZ3:CZ54=U79)*(DC3:DC54=U77)*(DD3:DD54="D"))+SUMPRODUCT((CZ3:CZ54=U80)*(DC3:DC54=U77)*(DD3:DD54="D"))+SUMPRODUCT((CZ3:CZ54=U81)*(DC3:DC54=U77)*(DD3:DD54="D"))</f>
        <v>0</v>
      </c>
      <c r="X77" s="194">
        <f>SUMPRODUCT((CZ3:CZ54=U77)*(DC3:DC54=U78)*(DD3:DD54="L"))+SUMPRODUCT((CZ3:CZ54=U77)*(DC3:DC54=U79)*(DD3:DD54="L"))+SUMPRODUCT((CZ3:CZ54=U77)*(DC3:DC54=U80)*(DD3:DD54="L"))+SUMPRODUCT((CZ3:CZ54=U77)*(DC3:DC54=U81)*(DD3:DD54="L"))+SUMPRODUCT((CZ3:CZ54=U78)*(DC3:DC54=U77)*(DE3:DE54="L"))+SUMPRODUCT((CZ3:CZ54=U79)*(DC3:DC54=U77)*(DE3:DE54="L"))+SUMPRODUCT((CZ3:CZ54=U80)*(DC3:DC54=U77)*(DE3:DE54="L"))+SUMPRODUCT((CZ3:CZ54=U81)*(DC3:DC54=U77)*(DE3:DE54="L"))</f>
        <v>0</v>
      </c>
      <c r="Y77" s="194">
        <f>SUMPRODUCT((CZ3:CZ54=U77)*(DC3:DC54=U78)*DA3:DA54)+SUMPRODUCT((CZ3:CZ54=U77)*(DC3:DC54=U79)*DA3:DA54)+SUMPRODUCT((CZ3:CZ54=U77)*(DC3:DC54=U80)*DA3:DA54)+SUMPRODUCT((CZ3:CZ54=U77)*(DC3:DC54=U81)*DA3:DA54)+SUMPRODUCT((CZ3:CZ54=U78)*(DC3:DC54=U77)*DB3:DB54)+SUMPRODUCT((CZ3:CZ54=U79)*(DC3:DC54=U77)*DB3:DB54)+SUMPRODUCT((CZ3:CZ54=U80)*(DC3:DC54=U77)*DB3:DB54)+SUMPRODUCT((CZ3:CZ54=U81)*(DC3:DC54=U77)*DB3:DB54)</f>
        <v>0</v>
      </c>
      <c r="Z77" s="194">
        <f>SUMPRODUCT((CZ3:CZ54=U77)*(DC3:DC54=U78)*DB3:DB54)+SUMPRODUCT((CZ3:CZ54=U77)*(DC3:DC54=U79)*DB3:DB54)+SUMPRODUCT((CZ3:CZ54=U77)*(DC3:DC54=U80)*DB3:DB54)+SUMPRODUCT((CZ3:CZ54=U77)*(DC3:DC54=U81)*DB3:DB54)+SUMPRODUCT((CZ3:CZ54=U78)*(DC3:DC54=U77)*DA3:DA54)+SUMPRODUCT((CZ3:CZ54=U79)*(DC3:DC54=U77)*DA3:DA54)+SUMPRODUCT((CZ3:CZ54=U80)*(DC3:DC54=U77)*DA3:DA54)+SUMPRODUCT((CZ3:CZ54=U81)*(DC3:DC54=U77)*DA3:DA54)</f>
        <v>0</v>
      </c>
      <c r="AA77" s="194">
        <f>Y77-Z77+1000</f>
        <v>1000</v>
      </c>
      <c r="AB77" s="194">
        <f>IF(U77&lt;&gt;"",V77*3+W77*1,"")</f>
        <v>0</v>
      </c>
      <c r="AC77" s="194">
        <f>IF(U77&lt;&gt;"",VLOOKUP(U77,B4:H52,7,FALSE),"")</f>
        <v>1000</v>
      </c>
      <c r="AD77" s="194">
        <f>IF(U77&lt;&gt;"",VLOOKUP(U77,B4:H52,5,FALSE),"")</f>
        <v>0</v>
      </c>
      <c r="AE77" s="194">
        <f>IF(U77&lt;&gt;"",VLOOKUP(U77,B4:J52,9,FALSE),"")</f>
        <v>5</v>
      </c>
      <c r="AF77" s="194">
        <f>AB77</f>
        <v>0</v>
      </c>
      <c r="AG77" s="194">
        <f>IF(U77&lt;&gt;"",RANK(AF77,AF77:AF80),"")</f>
        <v>1</v>
      </c>
      <c r="AH77" s="194">
        <f>IF(U77&lt;&gt;"",SUMPRODUCT((AF77:AF80=AF77)*(AA77:AA80&gt;AA77)),"")</f>
        <v>0</v>
      </c>
      <c r="AI77" s="194">
        <f>IF(U77&lt;&gt;"",SUMPRODUCT((AF77:AF80=AF77)*(AA77:AA80=AA77)*(Y77:Y80&gt;Y77)),"")</f>
        <v>0</v>
      </c>
      <c r="AJ77" s="194">
        <f>IF(U77&lt;&gt;"",SUMPRODUCT((AF77:AF80=AF77)*(AA77:AA80=AA77)*(Y77:Y80=Y77)*(AC77:AC80&gt;AC77)),"")</f>
        <v>0</v>
      </c>
      <c r="AK77" s="194">
        <f>IF(U77&lt;&gt;"",SUMPRODUCT((AF77:AF80=AF77)*(AA77:AA80=AA77)*(Y77:Y80=Y77)*(AC77:AC80=AC77)*(AD77:AD80&gt;AD77)),"")</f>
        <v>0</v>
      </c>
      <c r="AL77" s="194">
        <f>IF(U77&lt;&gt;"",SUMPRODUCT((AF77:AF80=AF77)*(AA77:AA80=AA77)*(Y77:Y80=Y77)*(AC77:AC80=AC77)*(AD77:AD80=AD77)*(AE77:AE80&gt;AE77)),"")</f>
        <v>3</v>
      </c>
      <c r="AM77" s="194">
        <f>IF(U77&lt;&gt;"",SUM(AG77:AL77),"")</f>
        <v>4</v>
      </c>
      <c r="DW77" s="20"/>
      <c r="DX77" s="20"/>
      <c r="DY77" s="20"/>
      <c r="DZ77" s="198"/>
      <c r="EA77" s="20"/>
      <c r="EB77" s="20"/>
    </row>
    <row r="78" spans="6:132" x14ac:dyDescent="0.25">
      <c r="F78" s="194">
        <v>1</v>
      </c>
      <c r="G78" s="194">
        <v>1</v>
      </c>
      <c r="H78" s="194">
        <v>1</v>
      </c>
      <c r="I78" s="194">
        <f>IF(COUNTIF(I25:I28,4)=4,1,SUMPRODUCT((I25:I28=I26)*(H25:H28=H26)*(F25:F28&gt;F26))+1)</f>
        <v>1</v>
      </c>
      <c r="S78" s="194">
        <v>3</v>
      </c>
      <c r="T78" s="194">
        <f>IF(U26&lt;&gt;"",SUMPRODUCT((AB25:AB28=AB26)*(AA25:AA28=AA26)*(Y25:Y28=Y26)*(Z25:Z28=Z26)),"")</f>
        <v>4</v>
      </c>
      <c r="U78" s="194" t="str">
        <f>IF(AND(T78&lt;&gt;"",T78&gt;1),U26,"")</f>
        <v>Los Angeles</v>
      </c>
      <c r="V78" s="194">
        <f>SUMPRODUCT((CZ3:CZ54=U78)*(DC3:DC54=U79)*(DD3:DD54="W"))+SUMPRODUCT((CZ3:CZ54=U78)*(DC3:DC54=U80)*(DD3:DD54="W"))+SUMPRODUCT((CZ3:CZ54=U78)*(DC3:DC54=U81)*(DD3:DD54="W"))+SUMPRODUCT((CZ3:CZ54=U78)*(DC3:DC54=U77)*(DD3:DD54="W"))+SUMPRODUCT((CZ3:CZ54=U79)*(DC3:DC54=U78)*(DE3:DE54="W"))+SUMPRODUCT((CZ3:CZ54=U80)*(DC3:DC54=U78)*(DE3:DE54="W"))+SUMPRODUCT((CZ3:CZ54=U81)*(DC3:DC54=U78)*(DE3:DE54="W"))+SUMPRODUCT((CZ3:CZ54=U77)*(DC3:DC54=U78)*(DE3:DE54="W"))</f>
        <v>0</v>
      </c>
      <c r="W78" s="194">
        <f>SUMPRODUCT((CZ3:CZ54=U78)*(DC3:DC54=U79)*(DD3:DD54="D"))+SUMPRODUCT((CZ3:CZ54=U78)*(DC3:DC54=U80)*(DD3:DD54="D"))+SUMPRODUCT((CZ3:CZ54=U78)*(DC3:DC54=U81)*(DD3:DD54="D"))+SUMPRODUCT((CZ3:CZ54=U78)*(DC3:DC54=U77)*(DD3:DD54="D"))+SUMPRODUCT((CZ3:CZ54=U79)*(DC3:DC54=U78)*(DD3:DD54="D"))+SUMPRODUCT((CZ3:CZ54=U80)*(DC3:DC54=U78)*(DD3:DD54="D"))+SUMPRODUCT((CZ3:CZ54=U81)*(DC3:DC54=U78)*(DD3:DD54="D"))+SUMPRODUCT((CZ3:CZ54=U77)*(DC3:DC54=U78)*(DD3:DD54="D"))</f>
        <v>0</v>
      </c>
      <c r="X78" s="194">
        <f>SUMPRODUCT((CZ3:CZ54=U78)*(DC3:DC54=U79)*(DD3:DD54="L"))+SUMPRODUCT((CZ3:CZ54=U78)*(DC3:DC54=U80)*(DD3:DD54="L"))+SUMPRODUCT((CZ3:CZ54=U78)*(DC3:DC54=U81)*(DD3:DD54="L"))+SUMPRODUCT((CZ3:CZ54=U78)*(DC3:DC54=U77)*(DD3:DD54="L"))+SUMPRODUCT((CZ3:CZ54=U79)*(DC3:DC54=U78)*(DE3:DE54="L"))+SUMPRODUCT((CZ3:CZ54=U80)*(DC3:DC54=U78)*(DE3:DE54="L"))+SUMPRODUCT((CZ3:CZ54=U81)*(DC3:DC54=U78)*(DE3:DE54="L"))+SUMPRODUCT((CZ3:CZ54=U77)*(DC3:DC54=U78)*(DE3:DE54="L"))</f>
        <v>0</v>
      </c>
      <c r="Y78" s="194">
        <f>SUMPRODUCT((CZ3:CZ54=U78)*(DC3:DC54=U79)*DA3:DA54)+SUMPRODUCT((CZ3:CZ54=U78)*(DC3:DC54=U80)*DA3:DA54)+SUMPRODUCT((CZ3:CZ54=U78)*(DC3:DC54=U81)*DA3:DA54)+SUMPRODUCT((CZ3:CZ54=U78)*(DC3:DC54=U77)*DA3:DA54)+SUMPRODUCT((CZ3:CZ54=U79)*(DC3:DC54=U78)*DB3:DB54)+SUMPRODUCT((CZ3:CZ54=U80)*(DC3:DC54=U78)*DB3:DB54)+SUMPRODUCT((CZ3:CZ54=U81)*(DC3:DC54=U78)*DB3:DB54)+SUMPRODUCT((CZ3:CZ54=U77)*(DC3:DC54=U78)*DB3:DB54)</f>
        <v>0</v>
      </c>
      <c r="Z78" s="194">
        <f>SUMPRODUCT((CZ3:CZ54=U78)*(DC3:DC54=U79)*DB3:DB54)+SUMPRODUCT((CZ3:CZ54=U78)*(DC3:DC54=U80)*DB3:DB54)+SUMPRODUCT((CZ3:CZ54=U78)*(DC3:DC54=U81)*DB3:DB54)+SUMPRODUCT((CZ3:CZ54=U78)*(DC3:DC54=U77)*DB3:DB54)+SUMPRODUCT((CZ3:CZ54=U79)*(DC3:DC54=U78)*DA3:DA54)+SUMPRODUCT((CZ3:CZ54=U80)*(DC3:DC54=U78)*DA3:DA54)+SUMPRODUCT((CZ3:CZ54=U81)*(DC3:DC54=U78)*DA3:DA54)+SUMPRODUCT((CZ3:CZ54=U77)*(DC3:DC54=U78)*DA3:DA54)</f>
        <v>0</v>
      </c>
      <c r="AA78" s="194">
        <f>Y78-Z78+1000</f>
        <v>1000</v>
      </c>
      <c r="AB78" s="194">
        <f t="shared" ref="AB78:AB80" si="117">IF(U78&lt;&gt;"",V78*3+W78*1,"")</f>
        <v>0</v>
      </c>
      <c r="AC78" s="194">
        <f>IF(U78&lt;&gt;"",VLOOKUP(U78,B4:H52,7,FALSE),"")</f>
        <v>1000</v>
      </c>
      <c r="AD78" s="194">
        <f>IF(U78&lt;&gt;"",VLOOKUP(U78,B4:H52,5,FALSE),"")</f>
        <v>0</v>
      </c>
      <c r="AE78" s="194">
        <f>IF(U78&lt;&gt;"",VLOOKUP(U78,B4:J52,9,FALSE),"")</f>
        <v>13</v>
      </c>
      <c r="AF78" s="194">
        <f t="shared" ref="AF78:AF80" si="118">AB78</f>
        <v>0</v>
      </c>
      <c r="AG78" s="194">
        <f>IF(U78&lt;&gt;"",RANK(AF78,AF77:AF80),"")</f>
        <v>1</v>
      </c>
      <c r="AH78" s="194">
        <f>IF(U78&lt;&gt;"",SUMPRODUCT((AF77:AF80=AF78)*(AA77:AA80&gt;AA78)),"")</f>
        <v>0</v>
      </c>
      <c r="AI78" s="194">
        <f>IF(U78&lt;&gt;"",SUMPRODUCT((AF77:AF80=AF78)*(AA77:AA80=AA78)*(Y77:Y80&gt;Y78)),"")</f>
        <v>0</v>
      </c>
      <c r="AJ78" s="194">
        <f>IF(U78&lt;&gt;"",SUMPRODUCT((AF77:AF80=AF78)*(AA77:AA80=AA78)*(Y77:Y80=Y78)*(AC77:AC80&gt;AC78)),"")</f>
        <v>0</v>
      </c>
      <c r="AK78" s="194">
        <f>IF(U78&lt;&gt;"",SUMPRODUCT((AF77:AF80=AF78)*(AA77:AA80=AA78)*(Y77:Y80=Y78)*(AC77:AC80=AC78)*(AD77:AD80&gt;AD78)),"")</f>
        <v>0</v>
      </c>
      <c r="AL78" s="194">
        <f>IF(U78&lt;&gt;"",SUMPRODUCT((AF77:AF80=AF78)*(AA77:AA80=AA78)*(Y77:Y80=Y78)*(AC77:AC80=AC78)*(AD77:AD80=AD78)*(AE77:AE80&gt;AE78)),"")</f>
        <v>2</v>
      </c>
      <c r="AM78" s="194">
        <f>IF(U78&lt;&gt;"",SUM(AG78:AL78),"")</f>
        <v>3</v>
      </c>
      <c r="AN78" s="194" t="str">
        <f>IF(AO26&lt;&gt;"",SUMPRODUCT((AV25:AV28=AV26)*(AU25:AU28=AU26)*(AS25:AS28=AS26)*(AT25:AT28=AT26)),"")</f>
        <v/>
      </c>
      <c r="AO78" s="194" t="str">
        <f>IF(AND(AN78&lt;&gt;"",AN78&gt;1),AO26,"")</f>
        <v/>
      </c>
      <c r="AP78" s="194">
        <f>SUMPRODUCT((CZ3:CZ54=AO78)*(DC3:DC54=AO79)*(DD3:DD54="W"))+SUMPRODUCT((CZ3:CZ54=AO78)*(DC3:DC54=AO80)*(DD3:DD54="W"))+SUMPRODUCT((CZ3:CZ54=AO78)*(DC3:DC54=AO81)*(DD3:DD54="W"))+SUMPRODUCT((CZ3:CZ54=AO79)*(DC3:DC54=AO78)*(DE3:DE54="W"))+SUMPRODUCT((CZ3:CZ54=AO80)*(DC3:DC54=AO78)*(DE3:DE54="W"))+SUMPRODUCT((CZ3:CZ54=AO81)*(DC3:DC54=AO78)*(DE3:DE54="W"))</f>
        <v>0</v>
      </c>
      <c r="AQ78" s="194">
        <f>SUMPRODUCT((CZ3:CZ54=AO78)*(DC3:DC54=AO79)*(DD3:DD54="D"))+SUMPRODUCT((CZ3:CZ54=AO78)*(DC3:DC54=AO80)*(DD3:DD54="D"))+SUMPRODUCT((CZ3:CZ54=AO78)*(DC3:DC54=AO81)*(DD3:DD54="D"))+SUMPRODUCT((CZ3:CZ54=AO79)*(DC3:DC54=AO78)*(DD3:DD54="D"))+SUMPRODUCT((CZ3:CZ54=AO80)*(DC3:DC54=AO78)*(DD3:DD54="D"))+SUMPRODUCT((CZ3:CZ54=AO81)*(DC3:DC54=AO78)*(DD3:DD54="D"))</f>
        <v>0</v>
      </c>
      <c r="AR78" s="194">
        <f>SUMPRODUCT((CZ3:CZ54=AO78)*(DC3:DC54=AO79)*(DD3:DD54="L"))+SUMPRODUCT((CZ3:CZ54=AO78)*(DC3:DC54=AO80)*(DD3:DD54="L"))+SUMPRODUCT((CZ3:CZ54=AO78)*(DC3:DC54=AO81)*(DD3:DD54="L"))+SUMPRODUCT((CZ3:CZ54=AO79)*(DC3:DC54=AO78)*(DE3:DE54="L"))+SUMPRODUCT((CZ3:CZ54=AO80)*(DC3:DC54=AO78)*(DE3:DE54="L"))+SUMPRODUCT((CZ3:CZ54=AO81)*(DC3:DC54=AO78)*(DE3:DE54="L"))</f>
        <v>0</v>
      </c>
      <c r="AS78" s="194">
        <f>SUMPRODUCT((CZ3:CZ54=AO78)*(DC3:DC54=AO79)*DA3:DA54)+SUMPRODUCT((CZ3:CZ54=AO78)*(DC3:DC54=AO80)*DA3:DA54)+SUMPRODUCT((CZ3:CZ54=AO78)*(DC3:DC54=AO81)*DA3:DA54)+SUMPRODUCT((CZ3:CZ54=AO78)*(DC3:DC54=AO77)*DA3:DA54)+SUMPRODUCT((CZ3:CZ54=AO79)*(DC3:DC54=AO78)*DB3:DB54)+SUMPRODUCT((CZ3:CZ54=AO80)*(DC3:DC54=AO78)*DB3:DB54)+SUMPRODUCT((CZ3:CZ54=AO81)*(DC3:DC54=AO78)*DB3:DB54)+SUMPRODUCT((CZ3:CZ54=AO77)*(DC3:DC54=AO78)*DB3:DB54)</f>
        <v>0</v>
      </c>
      <c r="AT78" s="194">
        <f>SUMPRODUCT((CZ3:CZ54=AO78)*(DC3:DC54=AO79)*DB3:DB54)+SUMPRODUCT((CZ3:CZ54=AO78)*(DC3:DC54=AO80)*DB3:DB54)+SUMPRODUCT((CZ3:CZ54=AO78)*(DC3:DC54=AO81)*DB3:DB54)+SUMPRODUCT((CZ3:CZ54=AO78)*(DC3:DC54=AO77)*DB3:DB54)+SUMPRODUCT((CZ3:CZ54=AO79)*(DC3:DC54=AO78)*DA3:DA54)+SUMPRODUCT((CZ3:CZ54=AO80)*(DC3:DC54=AO78)*DA3:DA54)+SUMPRODUCT((CZ3:CZ54=AO81)*(DC3:DC54=AO78)*DA3:DA54)+SUMPRODUCT((CZ3:CZ54=AO77)*(DC3:DC54=AO78)*DA3:DA54)</f>
        <v>0</v>
      </c>
      <c r="AU78" s="194">
        <f>AS78-AT78+1000</f>
        <v>1000</v>
      </c>
      <c r="AV78" s="194" t="str">
        <f t="shared" ref="AV78:AV80" si="119">IF(AO78&lt;&gt;"",AP78*3+AQ78*1,"")</f>
        <v/>
      </c>
      <c r="AW78" s="194" t="str">
        <f>IF(AO78&lt;&gt;"",VLOOKUP(AO78,B4:H52,7,FALSE),"")</f>
        <v/>
      </c>
      <c r="AX78" s="194" t="str">
        <f>IF(AO78&lt;&gt;"",VLOOKUP(AO78,B4:H52,5,FALSE),"")</f>
        <v/>
      </c>
      <c r="AY78" s="194" t="str">
        <f>IF(AO78&lt;&gt;"",VLOOKUP(AO78,B4:J52,9,FALSE),"")</f>
        <v/>
      </c>
      <c r="AZ78" s="194" t="str">
        <f t="shared" ref="AZ78:AZ80" si="120">AV78</f>
        <v/>
      </c>
      <c r="BA78" s="194" t="str">
        <f>IF(AO78&lt;&gt;"",RANK(AZ78,AZ77:AZ80),"")</f>
        <v/>
      </c>
      <c r="BB78" s="194" t="str">
        <f>IF(AO78&lt;&gt;"",SUMPRODUCT((AZ77:AZ80=AZ78)*(AU77:AU80&gt;AU78)),"")</f>
        <v/>
      </c>
      <c r="BC78" s="194" t="str">
        <f>IF(AO78&lt;&gt;"",SUMPRODUCT((AZ77:AZ80=AZ78)*(AU77:AU80=AU78)*(AS77:AS80&gt;AS78)),"")</f>
        <v/>
      </c>
      <c r="BD78" s="194" t="str">
        <f>IF(AO78&lt;&gt;"",SUMPRODUCT((AZ77:AZ80=AZ78)*(AU77:AU80=AU78)*(AS77:AS80=AS78)*(AW77:AW80&gt;AW78)),"")</f>
        <v/>
      </c>
      <c r="BE78" s="194" t="str">
        <f>IF(AO78&lt;&gt;"",SUMPRODUCT((AZ77:AZ80=AZ78)*(AU77:AU80=AU78)*(AS77:AS80=AS78)*(AW77:AW80=AW78)*(AX77:AX80&gt;AX78)),"")</f>
        <v/>
      </c>
      <c r="BF78" s="194" t="str">
        <f>IF(AO78&lt;&gt;"",SUMPRODUCT((AZ77:AZ80=AZ78)*(AU77:AU80=AU78)*(AS77:AS80=AS78)*(AW77:AW80=AW78)*(AX77:AX80=AX78)*(AY77:AY80&gt;AY78)),"")</f>
        <v/>
      </c>
      <c r="BG78" s="194" t="str">
        <f>IF(AO78&lt;&gt;"",SUM(BA78:BF78)+1,"")</f>
        <v/>
      </c>
      <c r="DW78" s="20"/>
      <c r="DX78" s="20"/>
      <c r="DY78" s="20"/>
      <c r="DZ78" s="198"/>
      <c r="EA78" s="20"/>
      <c r="EB78" s="20"/>
    </row>
    <row r="79" spans="6:132" x14ac:dyDescent="0.25">
      <c r="F79" s="194">
        <v>1</v>
      </c>
      <c r="G79" s="194">
        <v>1</v>
      </c>
      <c r="H79" s="194">
        <v>1</v>
      </c>
      <c r="I79" s="194">
        <f>IF(COUNTIF(I25:I28,4)=4,1,SUMPRODUCT((I25:I28=I27)*(H25:H28=H27)*(F25:F28&gt;F27))+1)</f>
        <v>1</v>
      </c>
      <c r="S79" s="194">
        <v>2</v>
      </c>
      <c r="T79" s="194">
        <f>IF(U27&lt;&gt;"",SUMPRODUCT((AB25:AB28=AB27)*(AA25:AA28=AA27)*(Y25:Y28=Y27)*(Z25:Z28=Z27)),"")</f>
        <v>4</v>
      </c>
      <c r="U79" s="194" t="str">
        <f>IF(AND(T79&lt;&gt;"",T79&gt;1),U27,"")</f>
        <v>Chelsea</v>
      </c>
      <c r="V79" s="194">
        <f>SUMPRODUCT((CZ3:CZ54=U79)*(DC3:DC54=U80)*(DD3:DD54="W"))+SUMPRODUCT((CZ3:CZ54=U79)*(DC3:DC54=U81)*(DD3:DD54="W"))+SUMPRODUCT((CZ3:CZ54=U79)*(DC3:DC54=U77)*(DD3:DD54="W"))+SUMPRODUCT((CZ3:CZ54=U79)*(DC3:DC54=U78)*(DD3:DD54="W"))+SUMPRODUCT((CZ3:CZ54=U80)*(DC3:DC54=U79)*(DE3:DE54="W"))+SUMPRODUCT((CZ3:CZ54=U81)*(DC3:DC54=U79)*(DE3:DE54="W"))+SUMPRODUCT((CZ3:CZ54=U77)*(DC3:DC54=U79)*(DE3:DE54="W"))+SUMPRODUCT((CZ3:CZ54=U78)*(DC3:DC54=U79)*(DE3:DE54="W"))</f>
        <v>0</v>
      </c>
      <c r="W79" s="194">
        <f>SUMPRODUCT((CZ3:CZ54=U79)*(DC3:DC54=U80)*(DD3:DD54="D"))+SUMPRODUCT((CZ3:CZ54=U79)*(DC3:DC54=U81)*(DD3:DD54="D"))+SUMPRODUCT((CZ3:CZ54=U79)*(DC3:DC54=U77)*(DD3:DD54="D"))+SUMPRODUCT((CZ3:CZ54=U79)*(DC3:DC54=U78)*(DD3:DD54="D"))+SUMPRODUCT((CZ3:CZ54=U80)*(DC3:DC54=U79)*(DD3:DD54="D"))+SUMPRODUCT((CZ3:CZ54=U81)*(DC3:DC54=U79)*(DD3:DD54="D"))+SUMPRODUCT((CZ3:CZ54=U77)*(DC3:DC54=U79)*(DD3:DD54="D"))+SUMPRODUCT((CZ3:CZ54=U78)*(DC3:DC54=U79)*(DD3:DD54="D"))</f>
        <v>0</v>
      </c>
      <c r="X79" s="194">
        <f>SUMPRODUCT((CZ3:CZ54=U79)*(DC3:DC54=U80)*(DD3:DD54="L"))+SUMPRODUCT((CZ3:CZ54=U79)*(DC3:DC54=U81)*(DD3:DD54="L"))+SUMPRODUCT((CZ3:CZ54=U79)*(DC3:DC54=U77)*(DD3:DD54="L"))+SUMPRODUCT((CZ3:CZ54=U79)*(DC3:DC54=U78)*(DD3:DD54="L"))+SUMPRODUCT((CZ3:CZ54=U80)*(DC3:DC54=U79)*(DE3:DE54="L"))+SUMPRODUCT((CZ3:CZ54=U81)*(DC3:DC54=U79)*(DE3:DE54="L"))+SUMPRODUCT((CZ3:CZ54=U77)*(DC3:DC54=U79)*(DE3:DE54="L"))+SUMPRODUCT((CZ3:CZ54=U78)*(DC3:DC54=U79)*(DE3:DE54="L"))</f>
        <v>0</v>
      </c>
      <c r="Y79" s="194">
        <f>SUMPRODUCT((CZ3:CZ54=U79)*(DC3:DC54=U80)*DA3:DA54)+SUMPRODUCT((CZ3:CZ54=U79)*(DC3:DC54=U81)*DA3:DA54)+SUMPRODUCT((CZ3:CZ54=U79)*(DC3:DC54=U77)*DA3:DA54)+SUMPRODUCT((CZ3:CZ54=U79)*(DC3:DC54=U78)*DA3:DA54)+SUMPRODUCT((CZ3:CZ54=U80)*(DC3:DC54=U79)*DB3:DB54)+SUMPRODUCT((CZ3:CZ54=U81)*(DC3:DC54=U79)*DB3:DB54)+SUMPRODUCT((CZ3:CZ54=U77)*(DC3:DC54=U79)*DB3:DB54)+SUMPRODUCT((CZ3:CZ54=U78)*(DC3:DC54=U79)*DB3:DB54)</f>
        <v>0</v>
      </c>
      <c r="Z79" s="194">
        <f>SUMPRODUCT((CZ3:CZ54=U79)*(DC3:DC54=U80)*DB3:DB54)+SUMPRODUCT((CZ3:CZ54=U79)*(DC3:DC54=U81)*DB3:DB54)+SUMPRODUCT((CZ3:CZ54=U79)*(DC3:DC54=U77)*DB3:DB54)+SUMPRODUCT((CZ3:CZ54=U79)*(DC3:DC54=U78)*DB3:DB54)+SUMPRODUCT((CZ3:CZ54=U80)*(DC3:DC54=U79)*DA3:DA54)+SUMPRODUCT((CZ3:CZ54=U81)*(DC3:DC54=U79)*DA3:DA54)+SUMPRODUCT((CZ3:CZ54=U77)*(DC3:DC54=U79)*DA3:DA54)+SUMPRODUCT((CZ3:CZ54=U78)*(DC3:DC54=U79)*DA3:DA54)</f>
        <v>0</v>
      </c>
      <c r="AA79" s="194">
        <f>Y79-Z79+1000</f>
        <v>1000</v>
      </c>
      <c r="AB79" s="194">
        <f t="shared" si="117"/>
        <v>0</v>
      </c>
      <c r="AC79" s="194">
        <f>IF(U79&lt;&gt;"",VLOOKUP(U79,B4:H52,7,FALSE),"")</f>
        <v>1000</v>
      </c>
      <c r="AD79" s="194">
        <f>IF(U79&lt;&gt;"",VLOOKUP(U79,B4:H52,5,FALSE),"")</f>
        <v>0</v>
      </c>
      <c r="AE79" s="194">
        <f>IF(U79&lt;&gt;"",VLOOKUP(U79,B4:J52,9,FALSE),"")</f>
        <v>18</v>
      </c>
      <c r="AF79" s="194">
        <f t="shared" si="118"/>
        <v>0</v>
      </c>
      <c r="AG79" s="194">
        <f>IF(U79&lt;&gt;"",RANK(AF79,AF77:AF80),"")</f>
        <v>1</v>
      </c>
      <c r="AH79" s="194">
        <f>IF(U79&lt;&gt;"",SUMPRODUCT((AF77:AF80=AF79)*(AA77:AA80&gt;AA79)),"")</f>
        <v>0</v>
      </c>
      <c r="AI79" s="194">
        <f>IF(U79&lt;&gt;"",SUMPRODUCT((AF77:AF80=AF79)*(AA77:AA80=AA79)*(Y77:Y80&gt;Y79)),"")</f>
        <v>0</v>
      </c>
      <c r="AJ79" s="194">
        <f>IF(U79&lt;&gt;"",SUMPRODUCT((AF77:AF80=AF79)*(AA77:AA80=AA79)*(Y77:Y80=Y79)*(AC77:AC80&gt;AC79)),"")</f>
        <v>0</v>
      </c>
      <c r="AK79" s="194">
        <f>IF(U79&lt;&gt;"",SUMPRODUCT((AF77:AF80=AF79)*(AA77:AA80=AA79)*(Y77:Y80=Y79)*(AC77:AC80=AC79)*(AD77:AD80&gt;AD79)),"")</f>
        <v>0</v>
      </c>
      <c r="AL79" s="194">
        <f>IF(U79&lt;&gt;"",SUMPRODUCT((AF77:AF80=AF79)*(AA77:AA80=AA79)*(Y77:Y80=Y79)*(AC77:AC80=AC79)*(AD77:AD80=AD79)*(AE77:AE80&gt;AE79)),"")</f>
        <v>1</v>
      </c>
      <c r="AM79" s="194">
        <f>IF(U79&lt;&gt;"",SUM(AG79:AL79),"")</f>
        <v>2</v>
      </c>
      <c r="AN79" s="194" t="str">
        <f>IF(AO27&lt;&gt;"",SUMPRODUCT((AV25:AV28=AV27)*(AU25:AU28=AU27)*(AS25:AS28=AS27)*(AT25:AT28=AT27)),"")</f>
        <v/>
      </c>
      <c r="AO79" s="194" t="str">
        <f>IF(AND(AN79&lt;&gt;"",AN79&gt;1),AO27,"")</f>
        <v/>
      </c>
      <c r="AP79" s="194">
        <f>SUMPRODUCT((CZ3:CZ54=AO79)*(DC3:DC54=AO80)*(DD3:DD54="W"))+SUMPRODUCT((CZ3:CZ54=AO79)*(DC3:DC54=AO81)*(DD3:DD54="W"))+SUMPRODUCT((CZ3:CZ54=AO79)*(DC3:DC54=AO78)*(DD3:DD54="W"))+SUMPRODUCT((CZ3:CZ54=AO80)*(DC3:DC54=AO79)*(DE3:DE54="W"))+SUMPRODUCT((CZ3:CZ54=AO81)*(DC3:DC54=AO79)*(DE3:DE54="W"))+SUMPRODUCT((CZ3:CZ54=AO78)*(DC3:DC54=AO79)*(DE3:DE54="W"))</f>
        <v>0</v>
      </c>
      <c r="AQ79" s="194">
        <f>SUMPRODUCT((CZ3:CZ54=AO79)*(DC3:DC54=AO80)*(DD3:DD54="D"))+SUMPRODUCT((CZ3:CZ54=AO79)*(DC3:DC54=AO81)*(DD3:DD54="D"))+SUMPRODUCT((CZ3:CZ54=AO79)*(DC3:DC54=AO78)*(DD3:DD54="D"))+SUMPRODUCT((CZ3:CZ54=AO80)*(DC3:DC54=AO79)*(DD3:DD54="D"))+SUMPRODUCT((CZ3:CZ54=AO81)*(DC3:DC54=AO79)*(DD3:DD54="D"))+SUMPRODUCT((CZ3:CZ54=AO78)*(DC3:DC54=AO79)*(DD3:DD54="D"))</f>
        <v>0</v>
      </c>
      <c r="AR79" s="194">
        <f>SUMPRODUCT((CZ3:CZ54=AO79)*(DC3:DC54=AO80)*(DD3:DD54="L"))+SUMPRODUCT((CZ3:CZ54=AO79)*(DC3:DC54=AO81)*(DD3:DD54="L"))+SUMPRODUCT((CZ3:CZ54=AO79)*(DC3:DC54=AO78)*(DD3:DD54="L"))+SUMPRODUCT((CZ3:CZ54=AO80)*(DC3:DC54=AO79)*(DE3:DE54="L"))+SUMPRODUCT((CZ3:CZ54=AO81)*(DC3:DC54=AO79)*(DE3:DE54="L"))+SUMPRODUCT((CZ3:CZ54=AO78)*(DC3:DC54=AO79)*(DE3:DE54="L"))</f>
        <v>0</v>
      </c>
      <c r="AS79" s="194">
        <f>SUMPRODUCT((CZ3:CZ54=AO79)*(DC3:DC54=AO80)*DA3:DA54)+SUMPRODUCT((CZ3:CZ54=AO79)*(DC3:DC54=AO81)*DA3:DA54)+SUMPRODUCT((CZ3:CZ54=AO79)*(DC3:DC54=AO77)*DA3:DA54)+SUMPRODUCT((CZ3:CZ54=AO79)*(DC3:DC54=AO78)*DA3:DA54)+SUMPRODUCT((CZ3:CZ54=AO80)*(DC3:DC54=AO79)*DB3:DB54)+SUMPRODUCT((CZ3:CZ54=AO81)*(DC3:DC54=AO79)*DB3:DB54)+SUMPRODUCT((CZ3:CZ54=AO77)*(DC3:DC54=AO79)*DB3:DB54)+SUMPRODUCT((CZ3:CZ54=AO78)*(DC3:DC54=AO79)*DB3:DB54)</f>
        <v>0</v>
      </c>
      <c r="AT79" s="194">
        <f>SUMPRODUCT((CZ3:CZ54=AO79)*(DC3:DC54=AO80)*DB3:DB54)+SUMPRODUCT((CZ3:CZ54=AO79)*(DC3:DC54=AO81)*DB3:DB54)+SUMPRODUCT((CZ3:CZ54=AO79)*(DC3:DC54=AO77)*DB3:DB54)+SUMPRODUCT((CZ3:CZ54=AO79)*(DC3:DC54=AO78)*DB3:DB54)+SUMPRODUCT((CZ3:CZ54=AO80)*(DC3:DC54=AO79)*DA3:DA54)+SUMPRODUCT((CZ3:CZ54=AO81)*(DC3:DC54=AO79)*DA3:DA54)+SUMPRODUCT((CZ3:CZ54=AO77)*(DC3:DC54=AO79)*DA3:DA54)+SUMPRODUCT((CZ3:CZ54=AO78)*(DC3:DC54=AO79)*DA3:DA54)</f>
        <v>0</v>
      </c>
      <c r="AU79" s="194">
        <f>AS79-AT79+1000</f>
        <v>1000</v>
      </c>
      <c r="AV79" s="194" t="str">
        <f t="shared" si="119"/>
        <v/>
      </c>
      <c r="AW79" s="194" t="str">
        <f>IF(AO79&lt;&gt;"",VLOOKUP(AO79,B4:H52,7,FALSE),"")</f>
        <v/>
      </c>
      <c r="AX79" s="194" t="str">
        <f>IF(AO79&lt;&gt;"",VLOOKUP(AO79,B4:H52,5,FALSE),"")</f>
        <v/>
      </c>
      <c r="AY79" s="194" t="str">
        <f>IF(AO79&lt;&gt;"",VLOOKUP(AO79,B4:J52,9,FALSE),"")</f>
        <v/>
      </c>
      <c r="AZ79" s="194" t="str">
        <f t="shared" si="120"/>
        <v/>
      </c>
      <c r="BA79" s="194" t="str">
        <f>IF(AO79&lt;&gt;"",RANK(AZ79,AZ77:AZ80),"")</f>
        <v/>
      </c>
      <c r="BB79" s="194" t="str">
        <f>IF(AO79&lt;&gt;"",SUMPRODUCT((AZ77:AZ80=AZ79)*(AU77:AU80&gt;AU79)),"")</f>
        <v/>
      </c>
      <c r="BC79" s="194" t="str">
        <f>IF(AO79&lt;&gt;"",SUMPRODUCT((AZ77:AZ80=AZ79)*(AU77:AU80=AU79)*(AS77:AS80&gt;AS79)),"")</f>
        <v/>
      </c>
      <c r="BD79" s="194" t="str">
        <f>IF(AO79&lt;&gt;"",SUMPRODUCT((AZ77:AZ80=AZ79)*(AU77:AU80=AU79)*(AS77:AS80=AS79)*(AW77:AW80&gt;AW79)),"")</f>
        <v/>
      </c>
      <c r="BE79" s="194" t="str">
        <f>IF(AO79&lt;&gt;"",SUMPRODUCT((AZ77:AZ80=AZ79)*(AU77:AU80=AU79)*(AS77:AS80=AS79)*(AW77:AW80=AW79)*(AX77:AX80&gt;AX79)),"")</f>
        <v/>
      </c>
      <c r="BF79" s="194" t="str">
        <f>IF(AO79&lt;&gt;"",SUMPRODUCT((AZ77:AZ80=AZ79)*(AU77:AU80=AU79)*(AS77:AS80=AS79)*(AW77:AW80=AW79)*(AX77:AX80=AX79)*(AY77:AY80&gt;AY79)),"")</f>
        <v/>
      </c>
      <c r="BG79" s="194" t="str">
        <f t="shared" ref="BG79:BG80" si="121">IF(AO79&lt;&gt;"",SUM(BA79:BF79)+1,"")</f>
        <v/>
      </c>
      <c r="DW79" s="20"/>
      <c r="DX79" s="20"/>
      <c r="DY79" s="20"/>
      <c r="DZ79" s="198"/>
      <c r="EA79" s="20"/>
      <c r="EB79" s="20"/>
    </row>
    <row r="80" spans="6:132" x14ac:dyDescent="0.25">
      <c r="F80" s="194">
        <v>1</v>
      </c>
      <c r="G80" s="194">
        <v>1</v>
      </c>
      <c r="H80" s="194">
        <v>1</v>
      </c>
      <c r="I80" s="194">
        <f>IF(COUNTIF(I25:I28,4)=4,1,SUMPRODUCT((I25:I28=I28)*(H25:H28=H28)*(F25:F28&gt;F28))+1)</f>
        <v>1</v>
      </c>
      <c r="S80" s="194">
        <v>1</v>
      </c>
      <c r="T80" s="194">
        <f>IF(U28&lt;&gt;"",SUMPRODUCT((AB25:AB28=AB28)*(AA25:AA28=AA28)*(Y25:Y28=Y28)*(Z25:Z28=Z28)),"")</f>
        <v>4</v>
      </c>
      <c r="U80" s="194" t="str">
        <f>IF(AND(T80&lt;&gt;"",T80&gt;1),U28,"")</f>
        <v>Flamengo</v>
      </c>
      <c r="V80" s="194">
        <f>SUMPRODUCT((CZ3:CZ54=U80)*(DC3:DC54=U81)*(DD3:DD54="W"))+SUMPRODUCT((CZ3:CZ54=U80)*(DC3:DC54=U77)*(DD3:DD54="W"))+SUMPRODUCT((CZ3:CZ54=U80)*(DC3:DC54=U78)*(DD3:DD54="W"))+SUMPRODUCT((CZ3:CZ54=U80)*(DC3:DC54=U79)*(DD3:DD54="W"))+SUMPRODUCT((CZ3:CZ54=U81)*(DC3:DC54=U80)*(DE3:DE54="W"))+SUMPRODUCT((CZ3:CZ54=U77)*(DC3:DC54=U80)*(DE3:DE54="W"))+SUMPRODUCT((CZ3:CZ54=U78)*(DC3:DC54=U80)*(DE3:DE54="W"))+SUMPRODUCT((CZ3:CZ54=U79)*(DC3:DC54=U80)*(DE3:DE54="W"))</f>
        <v>0</v>
      </c>
      <c r="W80" s="194">
        <f>SUMPRODUCT((CZ3:CZ54=U80)*(DC3:DC54=U81)*(DD3:DD54="D"))+SUMPRODUCT((CZ3:CZ54=U80)*(DC3:DC54=U77)*(DD3:DD54="D"))+SUMPRODUCT((CZ3:CZ54=U80)*(DC3:DC54=U78)*(DD3:DD54="D"))+SUMPRODUCT((CZ3:CZ54=U80)*(DC3:DC54=U79)*(DD3:DD54="D"))+SUMPRODUCT((CZ3:CZ54=U81)*(DC3:DC54=U80)*(DD3:DD54="D"))+SUMPRODUCT((CZ3:CZ54=U77)*(DC3:DC54=U80)*(DD3:DD54="D"))+SUMPRODUCT((CZ3:CZ54=U78)*(DC3:DC54=U80)*(DD3:DD54="D"))+SUMPRODUCT((CZ3:CZ54=U79)*(DC3:DC54=U80)*(DD3:DD54="D"))</f>
        <v>0</v>
      </c>
      <c r="X80" s="194">
        <f>SUMPRODUCT((CZ3:CZ54=U80)*(DC3:DC54=U81)*(DD3:DD54="L"))+SUMPRODUCT((CZ3:CZ54=U80)*(DC3:DC54=U77)*(DD3:DD54="L"))+SUMPRODUCT((CZ3:CZ54=U80)*(DC3:DC54=U78)*(DD3:DD54="L"))+SUMPRODUCT((CZ3:CZ54=U80)*(DC3:DC54=U79)*(DD3:DD54="L"))+SUMPRODUCT((CZ3:CZ54=U81)*(DC3:DC54=U80)*(DE3:DE54="L"))+SUMPRODUCT((CZ3:CZ54=U77)*(DC3:DC54=U80)*(DE3:DE54="L"))+SUMPRODUCT((CZ3:CZ54=U78)*(DC3:DC54=U80)*(DE3:DE54="L"))+SUMPRODUCT((CZ3:CZ54=U79)*(DC3:DC54=U80)*(DE3:DE54="L"))</f>
        <v>0</v>
      </c>
      <c r="Y80" s="194">
        <f>SUMPRODUCT((CZ3:CZ54=U80)*(DC3:DC54=U81)*DA3:DA54)+SUMPRODUCT((CZ3:CZ54=U80)*(DC3:DC54=U77)*DA3:DA54)+SUMPRODUCT((CZ3:CZ54=U80)*(DC3:DC54=U78)*DA3:DA54)+SUMPRODUCT((CZ3:CZ54=U80)*(DC3:DC54=U79)*DA3:DA54)+SUMPRODUCT((CZ3:CZ54=U81)*(DC3:DC54=U80)*DB3:DB54)+SUMPRODUCT((CZ3:CZ54=U77)*(DC3:DC54=U80)*DB3:DB54)+SUMPRODUCT((CZ3:CZ54=U78)*(DC3:DC54=U80)*DB3:DB54)+SUMPRODUCT((CZ3:CZ54=U79)*(DC3:DC54=U80)*DB3:DB54)</f>
        <v>0</v>
      </c>
      <c r="Z80" s="194">
        <f>SUMPRODUCT((CZ3:CZ54=U80)*(DC3:DC54=U81)*DB3:DB54)+SUMPRODUCT((CZ3:CZ54=U80)*(DC3:DC54=U77)*DB3:DB54)+SUMPRODUCT((CZ3:CZ54=U80)*(DC3:DC54=U78)*DB3:DB54)+SUMPRODUCT((CZ3:CZ54=U80)*(DC3:DC54=U79)*DB3:DB54)+SUMPRODUCT((CZ3:CZ54=U81)*(DC3:DC54=U80)*DA3:DA54)+SUMPRODUCT((CZ3:CZ54=U77)*(DC3:DC54=U80)*DA3:DA54)+SUMPRODUCT((CZ3:CZ54=U78)*(DC3:DC54=U80)*DA3:DA54)+SUMPRODUCT((CZ3:CZ54=U79)*(DC3:DC54=U80)*DA3:DA54)</f>
        <v>0</v>
      </c>
      <c r="AA80" s="194">
        <f>Y80-Z80+1000</f>
        <v>1000</v>
      </c>
      <c r="AB80" s="194">
        <f t="shared" si="117"/>
        <v>0</v>
      </c>
      <c r="AC80" s="194">
        <f>IF(U80&lt;&gt;"",VLOOKUP(U80,B4:H52,7,FALSE),"")</f>
        <v>1000</v>
      </c>
      <c r="AD80" s="194">
        <f>IF(U80&lt;&gt;"",VLOOKUP(U80,B4:H52,5,FALSE),"")</f>
        <v>0</v>
      </c>
      <c r="AE80" s="194">
        <f>IF(U80&lt;&gt;"",VLOOKUP(U80,B4:J52,9,FALSE),"")</f>
        <v>28</v>
      </c>
      <c r="AF80" s="194">
        <f t="shared" si="118"/>
        <v>0</v>
      </c>
      <c r="AG80" s="194">
        <f>IF(U80&lt;&gt;"",RANK(AF80,AF77:AF80),"")</f>
        <v>1</v>
      </c>
      <c r="AH80" s="194">
        <f>IF(U80&lt;&gt;"",SUMPRODUCT((AF77:AF80=AF80)*(AA77:AA80&gt;AA80)),"")</f>
        <v>0</v>
      </c>
      <c r="AI80" s="194">
        <f>IF(U80&lt;&gt;"",SUMPRODUCT((AF77:AF80=AF80)*(AA77:AA80=AA80)*(Y77:Y80&gt;Y80)),"")</f>
        <v>0</v>
      </c>
      <c r="AJ80" s="194">
        <f>IF(U80&lt;&gt;"",SUMPRODUCT((AF77:AF80=AF80)*(AA77:AA80=AA80)*(Y77:Y80=Y80)*(AC77:AC80&gt;AC80)),"")</f>
        <v>0</v>
      </c>
      <c r="AK80" s="194">
        <f>IF(U80&lt;&gt;"",SUMPRODUCT((AF77:AF80=AF80)*(AA77:AA80=AA80)*(Y77:Y80=Y80)*(AC77:AC80=AC80)*(AD77:AD80&gt;AD80)),"")</f>
        <v>0</v>
      </c>
      <c r="AL80" s="194">
        <f>IF(U80&lt;&gt;"",SUMPRODUCT((AF77:AF80=AF80)*(AA77:AA80=AA80)*(Y77:Y80=Y80)*(AC77:AC80=AC80)*(AD77:AD80=AD80)*(AE77:AE80&gt;AE80)),"")</f>
        <v>0</v>
      </c>
      <c r="AM80" s="194">
        <f>IF(U80&lt;&gt;"",SUM(AG80:AL80),"")</f>
        <v>1</v>
      </c>
      <c r="AN80" s="194" t="str">
        <f>IF(AO28&lt;&gt;"",SUMPRODUCT((AV25:AV28=AV28)*(AU25:AU28=AU28)*(AS25:AS28=AS28)*(AT25:AT28=AT28)),"")</f>
        <v/>
      </c>
      <c r="AO80" s="194" t="str">
        <f>IF(AND(AN80&lt;&gt;"",AN80&gt;1),AO28,"")</f>
        <v/>
      </c>
      <c r="AP80" s="194" t="str">
        <f>IF(AO80&lt;&gt;"",SUMPRODUCT((CZ3:CZ54=AO80)*(DC3:DC54=AO81)*(DD3:DD54="W"))+SUMPRODUCT((CZ3:CZ54=AO80)*(DC3:DC54=AO78)*(DD3:DD54="W"))+SUMPRODUCT((CZ3:CZ54=AO80)*(DC3:DC54=AO79)*(DD3:DD54="W"))+SUMPRODUCT((CZ3:CZ54=AO81)*(DC3:DC54=AO80)*(DE3:DE54="W"))+SUMPRODUCT((CZ3:CZ54=AO78)*(DC3:DC54=AO80)*(DE3:DE54="W"))+SUMPRODUCT((CZ3:CZ54=AO79)*(DC3:DC54=AO80)*(DE3:DE54="W")),"")</f>
        <v/>
      </c>
      <c r="AQ80" s="194" t="str">
        <f>IF(AO80&lt;&gt;"",SUMPRODUCT((CZ3:CZ54=AO80)*(DC3:DC54=AO81)*(DD3:DD54="D"))+SUMPRODUCT((CZ3:CZ54=AO80)*(DC3:DC54=AO78)*(DD3:DD54="D"))+SUMPRODUCT((CZ3:CZ54=AO80)*(DC3:DC54=AO79)*(DD3:DD54="D"))+SUMPRODUCT((CZ3:CZ54=AO81)*(DC3:DC54=AO80)*(DD3:DD54="D"))+SUMPRODUCT((CZ3:CZ54=AO78)*(DC3:DC54=AO80)*(DD3:DD54="D"))+SUMPRODUCT((CZ3:CZ54=AO79)*(DC3:DC54=AO80)*(DD3:DD54="D")),"")</f>
        <v/>
      </c>
      <c r="AR80" s="194" t="str">
        <f>IF(AO80&lt;&gt;"",SUMPRODUCT((CZ3:CZ54=AO80)*(DC3:DC54=AO81)*(DD3:DD54="L"))+SUMPRODUCT((CZ3:CZ54=AO80)*(DC3:DC54=AO78)*(DD3:DD54="L"))+SUMPRODUCT((CZ3:CZ54=AO80)*(DC3:DC54=AO79)*(DD3:DD54="L"))+SUMPRODUCT((CZ3:CZ54=AO81)*(DC3:DC54=AO80)*(DE3:DE54="L"))+SUMPRODUCT((CZ3:CZ54=AO78)*(DC3:DC54=AO80)*(DE3:DE54="L"))+SUMPRODUCT((CZ3:CZ54=AO79)*(DC3:DC54=AO80)*(DE3:DE54="L")),"")</f>
        <v/>
      </c>
      <c r="AS80" s="194">
        <f>SUMPRODUCT((CZ3:CZ54=AO80)*(DC3:DC54=AO81)*DA3:DA54)+SUMPRODUCT((CZ3:CZ54=AO80)*(DC3:DC54=AO77)*DA3:DA54)+SUMPRODUCT((CZ3:CZ54=AO80)*(DC3:DC54=AO78)*DA3:DA54)+SUMPRODUCT((CZ3:CZ54=AO80)*(DC3:DC54=AO79)*DA3:DA54)+SUMPRODUCT((CZ3:CZ54=AO81)*(DC3:DC54=AO80)*DB3:DB54)+SUMPRODUCT((CZ3:CZ54=AO77)*(DC3:DC54=AO80)*DB3:DB54)+SUMPRODUCT((CZ3:CZ54=AO78)*(DC3:DC54=AO80)*DB3:DB54)+SUMPRODUCT((CZ3:CZ54=AO79)*(DC3:DC54=AO80)*DB3:DB54)</f>
        <v>0</v>
      </c>
      <c r="AT80" s="194">
        <f>SUMPRODUCT((CZ3:CZ54=AO80)*(DC3:DC54=AO81)*DB3:DB54)+SUMPRODUCT((CZ3:CZ54=AO80)*(DC3:DC54=AO77)*DB3:DB54)+SUMPRODUCT((CZ3:CZ54=AO80)*(DC3:DC54=AO78)*DB3:DB54)+SUMPRODUCT((CZ3:CZ54=AO80)*(DC3:DC54=AO79)*DB3:DB54)+SUMPRODUCT((CZ3:CZ54=AO81)*(DC3:DC54=AO80)*DA3:DA54)+SUMPRODUCT((CZ3:CZ54=AO77)*(DC3:DC54=AO80)*DA3:DA54)+SUMPRODUCT((CZ3:CZ54=AO78)*(DC3:DC54=AO80)*DA3:DA54)+SUMPRODUCT((CZ3:CZ54=AO79)*(DC3:DC54=AO80)*DA3:DA54)</f>
        <v>0</v>
      </c>
      <c r="AU80" s="194">
        <f>AS80-AT80+1000</f>
        <v>1000</v>
      </c>
      <c r="AV80" s="194" t="str">
        <f t="shared" si="119"/>
        <v/>
      </c>
      <c r="AW80" s="194" t="str">
        <f>IF(AO80&lt;&gt;"",VLOOKUP(AO80,B4:H52,7,FALSE),"")</f>
        <v/>
      </c>
      <c r="AX80" s="194" t="str">
        <f>IF(AO80&lt;&gt;"",VLOOKUP(AO80,B4:H52,5,FALSE),"")</f>
        <v/>
      </c>
      <c r="AY80" s="194" t="str">
        <f>IF(AO80&lt;&gt;"",VLOOKUP(AO80,B4:J52,9,FALSE),"")</f>
        <v/>
      </c>
      <c r="AZ80" s="194" t="str">
        <f t="shared" si="120"/>
        <v/>
      </c>
      <c r="BA80" s="194" t="str">
        <f>IF(AO80&lt;&gt;"",RANK(AZ80,AZ77:AZ80),"")</f>
        <v/>
      </c>
      <c r="BB80" s="194" t="str">
        <f>IF(AO80&lt;&gt;"",SUMPRODUCT((AZ77:AZ80=AZ80)*(AU77:AU80&gt;AU80)),"")</f>
        <v/>
      </c>
      <c r="BC80" s="194" t="str">
        <f>IF(AO80&lt;&gt;"",SUMPRODUCT((AZ77:AZ80=AZ80)*(AU77:AU80=AU80)*(AS77:AS80&gt;AS80)),"")</f>
        <v/>
      </c>
      <c r="BD80" s="194" t="str">
        <f>IF(AO80&lt;&gt;"",SUMPRODUCT((AZ77:AZ80=AZ80)*(AU77:AU80=AU80)*(AS77:AS80=AS80)*(AW77:AW80&gt;AW80)),"")</f>
        <v/>
      </c>
      <c r="BE80" s="194" t="str">
        <f>IF(AO80&lt;&gt;"",SUMPRODUCT((AZ77:AZ80=AZ80)*(AU77:AU80=AU80)*(AS77:AS80=AS80)*(AW77:AW80=AW80)*(AX77:AX80&gt;AX80)),"")</f>
        <v/>
      </c>
      <c r="BF80" s="194" t="str">
        <f>IF(AO80&lt;&gt;"",SUMPRODUCT((AZ77:AZ80=AZ80)*(AU77:AU80=AU80)*(AS77:AS80=AS80)*(AW77:AW80=AW80)*(AX77:AX80=AX80)*(AY77:AY80&gt;AY80)),"")</f>
        <v/>
      </c>
      <c r="BG80" s="194" t="str">
        <f t="shared" si="121"/>
        <v/>
      </c>
      <c r="DW80" s="20"/>
      <c r="DX80" s="20"/>
      <c r="DY80" s="20"/>
      <c r="DZ80" s="198"/>
      <c r="EA80" s="20"/>
      <c r="EB80" s="20"/>
    </row>
    <row r="81" spans="6:132" x14ac:dyDescent="0.25">
      <c r="DW81" s="20"/>
      <c r="DX81" s="20"/>
      <c r="DY81" s="20"/>
      <c r="DZ81" s="198"/>
      <c r="EA81" s="20"/>
      <c r="EB81" s="20"/>
    </row>
    <row r="82" spans="6:132" x14ac:dyDescent="0.25">
      <c r="T82" s="194">
        <f>IF(U83="",SUM(AG31:AL31),IF(U84="",SUM(AG32:AL32),IF(U85="",SUM(AG33:AL33),IF(U86="",SUM(AG34:AL34),0))))</f>
        <v>0</v>
      </c>
      <c r="AN82" s="194">
        <f>IF(AO84="",SUM(BA32:BF32),IF(AO85="",SUM(BA33:BF33),IF(AO86="",SUM(BA34:BF34),0)))</f>
        <v>0</v>
      </c>
      <c r="DW82" s="20"/>
      <c r="DX82" s="20"/>
      <c r="DY82" s="20"/>
      <c r="DZ82" s="198"/>
      <c r="EA82" s="20"/>
      <c r="EB82" s="20"/>
    </row>
    <row r="83" spans="6:132" x14ac:dyDescent="0.25">
      <c r="F83" s="194">
        <v>1</v>
      </c>
      <c r="G83" s="194">
        <v>1</v>
      </c>
      <c r="H83" s="194">
        <v>1</v>
      </c>
      <c r="I83" s="194">
        <f>IF(COUNTIF(I31:I34,4)=4,1,SUMPRODUCT((I31:I34=I31)*(H31:H34=H31)*(F31:F34&gt;F31))+1)</f>
        <v>1</v>
      </c>
      <c r="S83" s="194">
        <v>4</v>
      </c>
      <c r="T83" s="194">
        <f>IF(U31&lt;&gt;"",SUMPRODUCT((AB31:AB34=AB31)*(AA31:AA34=AA31)*(Y31:Y34=Y31)*(Z31:Z34=Z31)),"")</f>
        <v>4</v>
      </c>
      <c r="U83" s="194" t="str">
        <f>IF(AND(T83&lt;&gt;"",T83&gt;1),U31,"")</f>
        <v>Urawa Red Diamonds</v>
      </c>
      <c r="V83" s="194">
        <f>SUMPRODUCT((CZ3:CZ54=U83)*(DC3:DC54=U84)*(DD3:DD54="W"))+SUMPRODUCT((CZ3:CZ54=U83)*(DC3:DC54=U85)*(DD3:DD54="W"))+SUMPRODUCT((CZ3:CZ54=U83)*(DC3:DC54=U86)*(DD3:DD54="W"))+SUMPRODUCT((CZ3:CZ54=U83)*(DC3:DC54=U87)*(DD3:DD54="W"))+SUMPRODUCT((CZ3:CZ54=U84)*(DC3:DC54=U83)*(DE3:DE54="W"))+SUMPRODUCT((CZ3:CZ54=U85)*(DC3:DC54=U83)*(DE3:DE54="W"))+SUMPRODUCT((CZ3:CZ54=U86)*(DC3:DC54=U83)*(DE3:DE54="W"))+SUMPRODUCT((CZ3:CZ54=U87)*(DC3:DC54=U83)*(DE3:DE54="W"))</f>
        <v>0</v>
      </c>
      <c r="W83" s="194">
        <f>SUMPRODUCT((CZ3:CZ54=U83)*(DC3:DC54=U84)*(DD3:DD54="D"))+SUMPRODUCT((CZ3:CZ54=U83)*(DC3:DC54=U85)*(DD3:DD54="D"))+SUMPRODUCT((CZ3:CZ54=U83)*(DC3:DC54=U86)*(DD3:DD54="D"))+SUMPRODUCT((CZ3:CZ54=U83)*(DC3:DC54=U87)*(DD3:DD54="D"))+SUMPRODUCT((CZ3:CZ54=U84)*(DC3:DC54=U83)*(DD3:DD54="D"))+SUMPRODUCT((CZ3:CZ54=U85)*(DC3:DC54=U83)*(DD3:DD54="D"))+SUMPRODUCT((CZ3:CZ54=U86)*(DC3:DC54=U83)*(DD3:DD54="D"))+SUMPRODUCT((CZ3:CZ54=U87)*(DC3:DC54=U83)*(DD3:DD54="D"))</f>
        <v>0</v>
      </c>
      <c r="X83" s="194">
        <f>SUMPRODUCT((CZ3:CZ54=U83)*(DC3:DC54=U84)*(DD3:DD54="L"))+SUMPRODUCT((CZ3:CZ54=U83)*(DC3:DC54=U85)*(DD3:DD54="L"))+SUMPRODUCT((CZ3:CZ54=U83)*(DC3:DC54=U86)*(DD3:DD54="L"))+SUMPRODUCT((CZ3:CZ54=U83)*(DC3:DC54=U87)*(DD3:DD54="L"))+SUMPRODUCT((CZ3:CZ54=U84)*(DC3:DC54=U83)*(DE3:DE54="L"))+SUMPRODUCT((CZ3:CZ54=U85)*(DC3:DC54=U83)*(DE3:DE54="L"))+SUMPRODUCT((CZ3:CZ54=U86)*(DC3:DC54=U83)*(DE3:DE54="L"))+SUMPRODUCT((CZ3:CZ54=U87)*(DC3:DC54=U83)*(DE3:DE54="L"))</f>
        <v>0</v>
      </c>
      <c r="Y83" s="194">
        <f>SUMPRODUCT((CZ3:CZ54=U83)*(DC3:DC54=U84)*DA3:DA54)+SUMPRODUCT((CZ3:CZ54=U83)*(DC3:DC54=U85)*DA3:DA54)+SUMPRODUCT((CZ3:CZ54=U83)*(DC3:DC54=U86)*DA3:DA54)+SUMPRODUCT((CZ3:CZ54=U83)*(DC3:DC54=U87)*DA3:DA54)+SUMPRODUCT((CZ3:CZ54=U84)*(DC3:DC54=U83)*DB3:DB54)+SUMPRODUCT((CZ3:CZ54=U85)*(DC3:DC54=U83)*DB3:DB54)+SUMPRODUCT((CZ3:CZ54=U86)*(DC3:DC54=U83)*DB3:DB54)+SUMPRODUCT((CZ3:CZ54=U87)*(DC3:DC54=U83)*DB3:DB54)</f>
        <v>0</v>
      </c>
      <c r="Z83" s="194">
        <f>SUMPRODUCT((CZ3:CZ54=U83)*(DC3:DC54=U84)*DB3:DB54)+SUMPRODUCT((CZ3:CZ54=U83)*(DC3:DC54=U85)*DB3:DB54)+SUMPRODUCT((CZ3:CZ54=U83)*(DC3:DC54=U86)*DB3:DB54)+SUMPRODUCT((CZ3:CZ54=U83)*(DC3:DC54=U87)*DB3:DB54)+SUMPRODUCT((CZ3:CZ54=U84)*(DC3:DC54=U83)*DA3:DA54)+SUMPRODUCT((CZ3:CZ54=U85)*(DC3:DC54=U83)*DA3:DA54)+SUMPRODUCT((CZ3:CZ54=U86)*(DC3:DC54=U83)*DA3:DA54)+SUMPRODUCT((CZ3:CZ54=U87)*(DC3:DC54=U83)*DA3:DA54)</f>
        <v>0</v>
      </c>
      <c r="AA83" s="194">
        <f>Y83-Z83+1000</f>
        <v>1000</v>
      </c>
      <c r="AB83" s="194">
        <f>IF(U83&lt;&gt;"",V83*3+W83*1,"")</f>
        <v>0</v>
      </c>
      <c r="AC83" s="194">
        <f>IF(U83&lt;&gt;"",VLOOKUP(U83,B4:H52,7,FALSE),"")</f>
        <v>1000</v>
      </c>
      <c r="AD83" s="194">
        <f>IF(U83&lt;&gt;"",VLOOKUP(U83,B4:H52,5,FALSE),"")</f>
        <v>0</v>
      </c>
      <c r="AE83" s="194">
        <f>IF(U83&lt;&gt;"",VLOOKUP(U83,B4:J52,9,FALSE),"")</f>
        <v>4</v>
      </c>
      <c r="AF83" s="194">
        <f>AB83</f>
        <v>0</v>
      </c>
      <c r="AG83" s="194">
        <f>IF(U83&lt;&gt;"",RANK(AF83,AF83:AF86),"")</f>
        <v>1</v>
      </c>
      <c r="AH83" s="194">
        <f>IF(U83&lt;&gt;"",SUMPRODUCT((AF83:AF86=AF83)*(AA83:AA86&gt;AA83)),"")</f>
        <v>0</v>
      </c>
      <c r="AI83" s="194">
        <f>IF(U83&lt;&gt;"",SUMPRODUCT((AF83:AF86=AF83)*(AA83:AA86=AA83)*(Y83:Y86&gt;Y83)),"")</f>
        <v>0</v>
      </c>
      <c r="AJ83" s="194">
        <f>IF(U83&lt;&gt;"",SUMPRODUCT((AF83:AF86=AF83)*(AA83:AA86=AA83)*(Y83:Y86=Y83)*(AC83:AC86&gt;AC83)),"")</f>
        <v>0</v>
      </c>
      <c r="AK83" s="194">
        <f>IF(U83&lt;&gt;"",SUMPRODUCT((AF83:AF86=AF83)*(AA83:AA86=AA83)*(Y83:Y86=Y83)*(AC83:AC86=AC83)*(AD83:AD86&gt;AD83)),"")</f>
        <v>0</v>
      </c>
      <c r="AL83" s="194">
        <f>IF(U83&lt;&gt;"",SUMPRODUCT((AF83:AF86=AF83)*(AA83:AA86=AA83)*(Y83:Y86=Y83)*(AC83:AC86=AC83)*(AD83:AD86=AD83)*(AE83:AE86&gt;AE83)),"")</f>
        <v>3</v>
      </c>
      <c r="AM83" s="194">
        <f>IF(U83&lt;&gt;"",SUM(AG83:AL83),"")</f>
        <v>4</v>
      </c>
      <c r="DW83" s="20"/>
      <c r="DX83" s="20"/>
      <c r="DY83" s="20"/>
      <c r="DZ83" s="198"/>
      <c r="EA83" s="20"/>
      <c r="EB83" s="20"/>
    </row>
    <row r="84" spans="6:132" x14ac:dyDescent="0.25">
      <c r="F84" s="194">
        <v>1</v>
      </c>
      <c r="G84" s="194">
        <v>1</v>
      </c>
      <c r="H84" s="194">
        <v>1</v>
      </c>
      <c r="I84" s="194">
        <f>IF(COUNTIF(I31:I34,4)=4,1,SUMPRODUCT((I31:I34=I32)*(H31:H34=H32)*(F31:F34&gt;F32))+1)</f>
        <v>1</v>
      </c>
      <c r="S84" s="194">
        <v>3</v>
      </c>
      <c r="T84" s="194">
        <f>IF(U32&lt;&gt;"",SUMPRODUCT((AB31:AB34=AB32)*(AA31:AA34=AA32)*(Y31:Y34=Y32)*(Z31:Z34=Z32)),"")</f>
        <v>4</v>
      </c>
      <c r="U84" s="194" t="str">
        <f>IF(AND(T84&lt;&gt;"",T84&gt;1),U32,"")</f>
        <v>Monterrey</v>
      </c>
      <c r="V84" s="194">
        <f>SUMPRODUCT((CZ3:CZ54=U84)*(DC3:DC54=U85)*(DD3:DD54="W"))+SUMPRODUCT((CZ3:CZ54=U84)*(DC3:DC54=U86)*(DD3:DD54="W"))+SUMPRODUCT((CZ3:CZ54=U84)*(DC3:DC54=U87)*(DD3:DD54="W"))+SUMPRODUCT((CZ3:CZ54=U84)*(DC3:DC54=U83)*(DD3:DD54="W"))+SUMPRODUCT((CZ3:CZ54=U85)*(DC3:DC54=U84)*(DE3:DE54="W"))+SUMPRODUCT((CZ3:CZ54=U86)*(DC3:DC54=U84)*(DE3:DE54="W"))+SUMPRODUCT((CZ3:CZ54=U87)*(DC3:DC54=U84)*(DE3:DE54="W"))+SUMPRODUCT((CZ3:CZ54=U83)*(DC3:DC54=U84)*(DE3:DE54="W"))</f>
        <v>0</v>
      </c>
      <c r="W84" s="194">
        <f>SUMPRODUCT((CZ3:CZ54=U84)*(DC3:DC54=U85)*(DD3:DD54="D"))+SUMPRODUCT((CZ3:CZ54=U84)*(DC3:DC54=U86)*(DD3:DD54="D"))+SUMPRODUCT((CZ3:CZ54=U84)*(DC3:DC54=U87)*(DD3:DD54="D"))+SUMPRODUCT((CZ3:CZ54=U84)*(DC3:DC54=U83)*(DD3:DD54="D"))+SUMPRODUCT((CZ3:CZ54=U85)*(DC3:DC54=U84)*(DD3:DD54="D"))+SUMPRODUCT((CZ3:CZ54=U86)*(DC3:DC54=U84)*(DD3:DD54="D"))+SUMPRODUCT((CZ3:CZ54=U87)*(DC3:DC54=U84)*(DD3:DD54="D"))+SUMPRODUCT((CZ3:CZ54=U83)*(DC3:DC54=U84)*(DD3:DD54="D"))</f>
        <v>0</v>
      </c>
      <c r="X84" s="194">
        <f>SUMPRODUCT((CZ3:CZ54=U84)*(DC3:DC54=U85)*(DD3:DD54="L"))+SUMPRODUCT((CZ3:CZ54=U84)*(DC3:DC54=U86)*(DD3:DD54="L"))+SUMPRODUCT((CZ3:CZ54=U84)*(DC3:DC54=U87)*(DD3:DD54="L"))+SUMPRODUCT((CZ3:CZ54=U84)*(DC3:DC54=U83)*(DD3:DD54="L"))+SUMPRODUCT((CZ3:CZ54=U85)*(DC3:DC54=U84)*(DE3:DE54="L"))+SUMPRODUCT((CZ3:CZ54=U86)*(DC3:DC54=U84)*(DE3:DE54="L"))+SUMPRODUCT((CZ3:CZ54=U87)*(DC3:DC54=U84)*(DE3:DE54="L"))+SUMPRODUCT((CZ3:CZ54=U83)*(DC3:DC54=U84)*(DE3:DE54="L"))</f>
        <v>0</v>
      </c>
      <c r="Y84" s="194">
        <f>SUMPRODUCT((CZ3:CZ54=U84)*(DC3:DC54=U85)*DA3:DA54)+SUMPRODUCT((CZ3:CZ54=U84)*(DC3:DC54=U86)*DA3:DA54)+SUMPRODUCT((CZ3:CZ54=U84)*(DC3:DC54=U87)*DA3:DA54)+SUMPRODUCT((CZ3:CZ54=U84)*(DC3:DC54=U83)*DA3:DA54)+SUMPRODUCT((CZ3:CZ54=U85)*(DC3:DC54=U84)*DB3:DB54)+SUMPRODUCT((CZ3:CZ54=U86)*(DC3:DC54=U84)*DB3:DB54)+SUMPRODUCT((CZ3:CZ54=U87)*(DC3:DC54=U84)*DB3:DB54)+SUMPRODUCT((CZ3:CZ54=U83)*(DC3:DC54=U84)*DB3:DB54)</f>
        <v>0</v>
      </c>
      <c r="Z84" s="194">
        <f>SUMPRODUCT((CZ3:CZ54=U84)*(DC3:DC54=U85)*DB3:DB54)+SUMPRODUCT((CZ3:CZ54=U84)*(DC3:DC54=U86)*DB3:DB54)+SUMPRODUCT((CZ3:CZ54=U84)*(DC3:DC54=U87)*DB3:DB54)+SUMPRODUCT((CZ3:CZ54=U84)*(DC3:DC54=U83)*DB3:DB54)+SUMPRODUCT((CZ3:CZ54=U85)*(DC3:DC54=U84)*DA3:DA54)+SUMPRODUCT((CZ3:CZ54=U86)*(DC3:DC54=U84)*DA3:DA54)+SUMPRODUCT((CZ3:CZ54=U87)*(DC3:DC54=U84)*DA3:DA54)+SUMPRODUCT((CZ3:CZ54=U83)*(DC3:DC54=U84)*DA3:DA54)</f>
        <v>0</v>
      </c>
      <c r="AA84" s="194">
        <f>Y84-Z84+1000</f>
        <v>1000</v>
      </c>
      <c r="AB84" s="194">
        <f t="shared" ref="AB84:AB86" si="122">IF(U84&lt;&gt;"",V84*3+W84*1,"")</f>
        <v>0</v>
      </c>
      <c r="AC84" s="194">
        <f>IF(U84&lt;&gt;"",VLOOKUP(U84,B4:H52,7,FALSE),"")</f>
        <v>1000</v>
      </c>
      <c r="AD84" s="194">
        <f>IF(U84&lt;&gt;"",VLOOKUP(U84,B4:H52,5,FALSE),"")</f>
        <v>0</v>
      </c>
      <c r="AE84" s="194">
        <f>IF(U84&lt;&gt;"",VLOOKUP(U84,B4:J52,9,FALSE),"")</f>
        <v>12</v>
      </c>
      <c r="AF84" s="194">
        <f t="shared" ref="AF84:AF86" si="123">AB84</f>
        <v>0</v>
      </c>
      <c r="AG84" s="194">
        <f>IF(U84&lt;&gt;"",RANK(AF84,AF83:AF86),"")</f>
        <v>1</v>
      </c>
      <c r="AH84" s="194">
        <f>IF(U84&lt;&gt;"",SUMPRODUCT((AF83:AF86=AF84)*(AA83:AA86&gt;AA84)),"")</f>
        <v>0</v>
      </c>
      <c r="AI84" s="194">
        <f>IF(U84&lt;&gt;"",SUMPRODUCT((AF83:AF86=AF84)*(AA83:AA86=AA84)*(Y83:Y86&gt;Y84)),"")</f>
        <v>0</v>
      </c>
      <c r="AJ84" s="194">
        <f>IF(U84&lt;&gt;"",SUMPRODUCT((AF83:AF86=AF84)*(AA83:AA86=AA84)*(Y83:Y86=Y84)*(AC83:AC86&gt;AC84)),"")</f>
        <v>0</v>
      </c>
      <c r="AK84" s="194">
        <f>IF(U84&lt;&gt;"",SUMPRODUCT((AF83:AF86=AF84)*(AA83:AA86=AA84)*(Y83:Y86=Y84)*(AC83:AC86=AC84)*(AD83:AD86&gt;AD84)),"")</f>
        <v>0</v>
      </c>
      <c r="AL84" s="194">
        <f>IF(U84&lt;&gt;"",SUMPRODUCT((AF83:AF86=AF84)*(AA83:AA86=AA84)*(Y83:Y86=Y84)*(AC83:AC86=AC84)*(AD83:AD86=AD84)*(AE83:AE86&gt;AE84)),"")</f>
        <v>2</v>
      </c>
      <c r="AM84" s="194">
        <f>IF(U84&lt;&gt;"",SUM(AG84:AL84),"")</f>
        <v>3</v>
      </c>
      <c r="AN84" s="194" t="str">
        <f>IF(AO32&lt;&gt;"",SUMPRODUCT((AV31:AV34=AV32)*(AU31:AU34=AU32)*(AS31:AS34=AS32)*(AT31:AT34=AT32)),"")</f>
        <v/>
      </c>
      <c r="AO84" s="194" t="str">
        <f>IF(AND(AN84&lt;&gt;"",AN84&gt;1),AO32,"")</f>
        <v/>
      </c>
      <c r="AP84" s="194">
        <f>SUMPRODUCT((CZ3:CZ54=AO84)*(DC3:DC54=AO85)*(DD3:DD54="W"))+SUMPRODUCT((CZ3:CZ54=AO84)*(DC3:DC54=AO86)*(DD3:DD54="W"))+SUMPRODUCT((CZ3:CZ54=AO84)*(DC3:DC54=AO87)*(DD3:DD54="W"))+SUMPRODUCT((CZ3:CZ54=AO85)*(DC3:DC54=AO84)*(DE3:DE54="W"))+SUMPRODUCT((CZ3:CZ54=AO86)*(DC3:DC54=AO84)*(DE3:DE54="W"))+SUMPRODUCT((CZ3:CZ54=AO87)*(DC3:DC54=AO84)*(DE3:DE54="W"))</f>
        <v>0</v>
      </c>
      <c r="AQ84" s="194">
        <f>SUMPRODUCT((CZ3:CZ54=AO84)*(DC3:DC54=AO85)*(DD3:DD54="D"))+SUMPRODUCT((CZ3:CZ54=AO84)*(DC3:DC54=AO86)*(DD3:DD54="D"))+SUMPRODUCT((CZ3:CZ54=AO84)*(DC3:DC54=AO87)*(DD3:DD54="D"))+SUMPRODUCT((CZ3:CZ54=AO85)*(DC3:DC54=AO84)*(DD3:DD54="D"))+SUMPRODUCT((CZ3:CZ54=AO86)*(DC3:DC54=AO84)*(DD3:DD54="D"))+SUMPRODUCT((CZ3:CZ54=AO87)*(DC3:DC54=AO84)*(DD3:DD54="D"))</f>
        <v>0</v>
      </c>
      <c r="AR84" s="194">
        <f>SUMPRODUCT((CZ3:CZ54=AO84)*(DC3:DC54=AO85)*(DD3:DD54="L"))+SUMPRODUCT((CZ3:CZ54=AO84)*(DC3:DC54=AO86)*(DD3:DD54="L"))+SUMPRODUCT((CZ3:CZ54=AO84)*(DC3:DC54=AO87)*(DD3:DD54="L"))+SUMPRODUCT((CZ3:CZ54=AO85)*(DC3:DC54=AO84)*(DE3:DE54="L"))+SUMPRODUCT((CZ3:CZ54=AO86)*(DC3:DC54=AO84)*(DE3:DE54="L"))+SUMPRODUCT((CZ3:CZ54=AO87)*(DC3:DC54=AO84)*(DE3:DE54="L"))</f>
        <v>0</v>
      </c>
      <c r="AS84" s="194">
        <f>SUMPRODUCT((CZ3:CZ54=AO84)*(DC3:DC54=AO85)*DA3:DA54)+SUMPRODUCT((CZ3:CZ54=AO84)*(DC3:DC54=AO86)*DA3:DA54)+SUMPRODUCT((CZ3:CZ54=AO84)*(DC3:DC54=AO87)*DA3:DA54)+SUMPRODUCT((CZ3:CZ54=AO84)*(DC3:DC54=AO83)*DA3:DA54)+SUMPRODUCT((CZ3:CZ54=AO85)*(DC3:DC54=AO84)*DB3:DB54)+SUMPRODUCT((CZ3:CZ54=AO86)*(DC3:DC54=AO84)*DB3:DB54)+SUMPRODUCT((CZ3:CZ54=AO87)*(DC3:DC54=AO84)*DB3:DB54)+SUMPRODUCT((CZ3:CZ54=AO83)*(DC3:DC54=AO84)*DB3:DB54)</f>
        <v>0</v>
      </c>
      <c r="AT84" s="194">
        <f>SUMPRODUCT((CZ3:CZ54=AO84)*(DC3:DC54=AO85)*DB3:DB54)+SUMPRODUCT((CZ3:CZ54=AO84)*(DC3:DC54=AO86)*DB3:DB54)+SUMPRODUCT((CZ3:CZ54=AO84)*(DC3:DC54=AO87)*DB3:DB54)+SUMPRODUCT((CZ3:CZ54=AO84)*(DC3:DC54=AO83)*DB3:DB54)+SUMPRODUCT((CZ3:CZ54=AO85)*(DC3:DC54=AO84)*DA3:DA54)+SUMPRODUCT((CZ3:CZ54=AO86)*(DC3:DC54=AO84)*DA3:DA54)+SUMPRODUCT((CZ3:CZ54=AO87)*(DC3:DC54=AO84)*DA3:DA54)+SUMPRODUCT((CZ3:CZ54=AO83)*(DC3:DC54=AO84)*DA3:DA54)</f>
        <v>0</v>
      </c>
      <c r="AU84" s="194">
        <f>AS84-AT84+1000</f>
        <v>1000</v>
      </c>
      <c r="AV84" s="194" t="str">
        <f t="shared" ref="AV84:AV86" si="124">IF(AO84&lt;&gt;"",AP84*3+AQ84*1,"")</f>
        <v/>
      </c>
      <c r="AW84" s="194" t="str">
        <f>IF(AO84&lt;&gt;"",VLOOKUP(AO84,B4:H52,7,FALSE),"")</f>
        <v/>
      </c>
      <c r="AX84" s="194" t="str">
        <f>IF(AO84&lt;&gt;"",VLOOKUP(AO84,B4:H52,5,FALSE),"")</f>
        <v/>
      </c>
      <c r="AY84" s="194" t="str">
        <f>IF(AO84&lt;&gt;"",VLOOKUP(AO84,B4:J52,9,FALSE),"")</f>
        <v/>
      </c>
      <c r="AZ84" s="194" t="str">
        <f t="shared" ref="AZ84:AZ86" si="125">AV84</f>
        <v/>
      </c>
      <c r="BA84" s="194" t="str">
        <f>IF(AO84&lt;&gt;"",RANK(AZ84,AZ83:AZ86),"")</f>
        <v/>
      </c>
      <c r="BB84" s="194" t="str">
        <f>IF(AO84&lt;&gt;"",SUMPRODUCT((AZ83:AZ86=AZ84)*(AU83:AU86&gt;AU84)),"")</f>
        <v/>
      </c>
      <c r="BC84" s="194" t="str">
        <f>IF(AO84&lt;&gt;"",SUMPRODUCT((AZ83:AZ86=AZ84)*(AU83:AU86=AU84)*(AS83:AS86&gt;AS84)),"")</f>
        <v/>
      </c>
      <c r="BD84" s="194" t="str">
        <f>IF(AO84&lt;&gt;"",SUMPRODUCT((AZ83:AZ86=AZ84)*(AU83:AU86=AU84)*(AS83:AS86=AS84)*(AW83:AW86&gt;AW84)),"")</f>
        <v/>
      </c>
      <c r="BE84" s="194" t="str">
        <f>IF(AO84&lt;&gt;"",SUMPRODUCT((AZ83:AZ86=AZ84)*(AU83:AU86=AU84)*(AS83:AS86=AS84)*(AW83:AW86=AW84)*(AX83:AX86&gt;AX84)),"")</f>
        <v/>
      </c>
      <c r="BF84" s="194" t="str">
        <f>IF(AO84&lt;&gt;"",SUMPRODUCT((AZ83:AZ86=AZ84)*(AU83:AU86=AU84)*(AS83:AS86=AS84)*(AW83:AW86=AW84)*(AX83:AX86=AX84)*(AY83:AY86&gt;AY84)),"")</f>
        <v/>
      </c>
      <c r="BG84" s="194" t="str">
        <f>IF(AO84&lt;&gt;"",SUM(BA84:BF84)+1,"")</f>
        <v/>
      </c>
      <c r="DW84" s="20"/>
      <c r="DX84" s="20"/>
      <c r="DY84" s="20"/>
      <c r="DZ84" s="206"/>
      <c r="EA84" s="20"/>
      <c r="EB84" s="20"/>
    </row>
    <row r="85" spans="6:132" x14ac:dyDescent="0.25">
      <c r="F85" s="194">
        <v>1</v>
      </c>
      <c r="G85" s="194">
        <v>1</v>
      </c>
      <c r="H85" s="194">
        <v>1</v>
      </c>
      <c r="I85" s="194">
        <f>IF(COUNTIF(I31:I34,4)=4,1,SUMPRODUCT((I31:I34=I33)*(H31:H34=H33)*(F31:F34&gt;F33))+1)</f>
        <v>1</v>
      </c>
      <c r="S85" s="194">
        <v>2</v>
      </c>
      <c r="T85" s="194">
        <f>IF(U33&lt;&gt;"",SUMPRODUCT((AB31:AB34=AB33)*(AA31:AA34=AA33)*(Y31:Y34=Y33)*(Z31:Z34=Z33)),"")</f>
        <v>4</v>
      </c>
      <c r="U85" s="194" t="str">
        <f>IF(AND(T85&lt;&gt;"",T85&gt;1),U33,"")</f>
        <v>Internazionale</v>
      </c>
      <c r="V85" s="194">
        <f>SUMPRODUCT((CZ3:CZ54=U85)*(DC3:DC54=U86)*(DD3:DD54="W"))+SUMPRODUCT((CZ3:CZ54=U85)*(DC3:DC54=U87)*(DD3:DD54="W"))+SUMPRODUCT((CZ3:CZ54=U85)*(DC3:DC54=U83)*(DD3:DD54="W"))+SUMPRODUCT((CZ3:CZ54=U85)*(DC3:DC54=U84)*(DD3:DD54="W"))+SUMPRODUCT((CZ3:CZ54=U86)*(DC3:DC54=U85)*(DE3:DE54="W"))+SUMPRODUCT((CZ3:CZ54=U87)*(DC3:DC54=U85)*(DE3:DE54="W"))+SUMPRODUCT((CZ3:CZ54=U83)*(DC3:DC54=U85)*(DE3:DE54="W"))+SUMPRODUCT((CZ3:CZ54=U84)*(DC3:DC54=U85)*(DE3:DE54="W"))</f>
        <v>0</v>
      </c>
      <c r="W85" s="194">
        <f>SUMPRODUCT((CZ3:CZ54=U85)*(DC3:DC54=U86)*(DD3:DD54="D"))+SUMPRODUCT((CZ3:CZ54=U85)*(DC3:DC54=U87)*(DD3:DD54="D"))+SUMPRODUCT((CZ3:CZ54=U85)*(DC3:DC54=U83)*(DD3:DD54="D"))+SUMPRODUCT((CZ3:CZ54=U85)*(DC3:DC54=U84)*(DD3:DD54="D"))+SUMPRODUCT((CZ3:CZ54=U86)*(DC3:DC54=U85)*(DD3:DD54="D"))+SUMPRODUCT((CZ3:CZ54=U87)*(DC3:DC54=U85)*(DD3:DD54="D"))+SUMPRODUCT((CZ3:CZ54=U83)*(DC3:DC54=U85)*(DD3:DD54="D"))+SUMPRODUCT((CZ3:CZ54=U84)*(DC3:DC54=U85)*(DD3:DD54="D"))</f>
        <v>0</v>
      </c>
      <c r="X85" s="194">
        <f>SUMPRODUCT((CZ3:CZ54=U85)*(DC3:DC54=U86)*(DD3:DD54="L"))+SUMPRODUCT((CZ3:CZ54=U85)*(DC3:DC54=U87)*(DD3:DD54="L"))+SUMPRODUCT((CZ3:CZ54=U85)*(DC3:DC54=U83)*(DD3:DD54="L"))+SUMPRODUCT((CZ3:CZ54=U85)*(DC3:DC54=U84)*(DD3:DD54="L"))+SUMPRODUCT((CZ3:CZ54=U86)*(DC3:DC54=U85)*(DE3:DE54="L"))+SUMPRODUCT((CZ3:CZ54=U87)*(DC3:DC54=U85)*(DE3:DE54="L"))+SUMPRODUCT((CZ3:CZ54=U83)*(DC3:DC54=U85)*(DE3:DE54="L"))+SUMPRODUCT((CZ3:CZ54=U84)*(DC3:DC54=U85)*(DE3:DE54="L"))</f>
        <v>0</v>
      </c>
      <c r="Y85" s="194">
        <f>SUMPRODUCT((CZ3:CZ54=U85)*(DC3:DC54=U86)*DA3:DA54)+SUMPRODUCT((CZ3:CZ54=U85)*(DC3:DC54=U87)*DA3:DA54)+SUMPRODUCT((CZ3:CZ54=U85)*(DC3:DC54=U83)*DA3:DA54)+SUMPRODUCT((CZ3:CZ54=U85)*(DC3:DC54=U84)*DA3:DA54)+SUMPRODUCT((CZ3:CZ54=U86)*(DC3:DC54=U85)*DB3:DB54)+SUMPRODUCT((CZ3:CZ54=U87)*(DC3:DC54=U85)*DB3:DB54)+SUMPRODUCT((CZ3:CZ54=U83)*(DC3:DC54=U85)*DB3:DB54)+SUMPRODUCT((CZ3:CZ54=U84)*(DC3:DC54=U85)*DB3:DB54)</f>
        <v>0</v>
      </c>
      <c r="Z85" s="194">
        <f>SUMPRODUCT((CZ3:CZ54=U85)*(DC3:DC54=U86)*DB3:DB54)+SUMPRODUCT((CZ3:CZ54=U85)*(DC3:DC54=U87)*DB3:DB54)+SUMPRODUCT((CZ3:CZ54=U85)*(DC3:DC54=U83)*DB3:DB54)+SUMPRODUCT((CZ3:CZ54=U85)*(DC3:DC54=U84)*DB3:DB54)+SUMPRODUCT((CZ3:CZ54=U86)*(DC3:DC54=U85)*DA3:DA54)+SUMPRODUCT((CZ3:CZ54=U87)*(DC3:DC54=U85)*DA3:DA54)+SUMPRODUCT((CZ3:CZ54=U83)*(DC3:DC54=U85)*DA3:DA54)+SUMPRODUCT((CZ3:CZ54=U84)*(DC3:DC54=U85)*DA3:DA54)</f>
        <v>0</v>
      </c>
      <c r="AA85" s="194">
        <f>Y85-Z85+1000</f>
        <v>1000</v>
      </c>
      <c r="AB85" s="194">
        <f t="shared" si="122"/>
        <v>0</v>
      </c>
      <c r="AC85" s="194">
        <f>IF(U85&lt;&gt;"",VLOOKUP(U85,B4:H52,7,FALSE),"")</f>
        <v>1000</v>
      </c>
      <c r="AD85" s="194">
        <f>IF(U85&lt;&gt;"",VLOOKUP(U85,B4:H52,5,FALSE),"")</f>
        <v>0</v>
      </c>
      <c r="AE85" s="194">
        <f>IF(U85&lt;&gt;"",VLOOKUP(U85,B4:J52,9,FALSE),"")</f>
        <v>21</v>
      </c>
      <c r="AF85" s="194">
        <f t="shared" si="123"/>
        <v>0</v>
      </c>
      <c r="AG85" s="194">
        <f>IF(U85&lt;&gt;"",RANK(AF85,AF83:AF86),"")</f>
        <v>1</v>
      </c>
      <c r="AH85" s="194">
        <f>IF(U85&lt;&gt;"",SUMPRODUCT((AF83:AF86=AF85)*(AA83:AA86&gt;AA85)),"")</f>
        <v>0</v>
      </c>
      <c r="AI85" s="194">
        <f>IF(U85&lt;&gt;"",SUMPRODUCT((AF83:AF86=AF85)*(AA83:AA86=AA85)*(Y83:Y86&gt;Y85)),"")</f>
        <v>0</v>
      </c>
      <c r="AJ85" s="194">
        <f>IF(U85&lt;&gt;"",SUMPRODUCT((AF83:AF86=AF85)*(AA83:AA86=AA85)*(Y83:Y86=Y85)*(AC83:AC86&gt;AC85)),"")</f>
        <v>0</v>
      </c>
      <c r="AK85" s="194">
        <f>IF(U85&lt;&gt;"",SUMPRODUCT((AF83:AF86=AF85)*(AA83:AA86=AA85)*(Y83:Y86=Y85)*(AC83:AC86=AC85)*(AD83:AD86&gt;AD85)),"")</f>
        <v>0</v>
      </c>
      <c r="AL85" s="194">
        <f>IF(U85&lt;&gt;"",SUMPRODUCT((AF83:AF86=AF85)*(AA83:AA86=AA85)*(Y83:Y86=Y85)*(AC83:AC86=AC85)*(AD83:AD86=AD85)*(AE83:AE86&gt;AE85)),"")</f>
        <v>1</v>
      </c>
      <c r="AM85" s="194">
        <f>IF(U85&lt;&gt;"",SUM(AG85:AL85),"")</f>
        <v>2</v>
      </c>
      <c r="AN85" s="194" t="str">
        <f>IF(AO33&lt;&gt;"",SUMPRODUCT((AV31:AV34=AV33)*(AU31:AU34=AU33)*(AS31:AS34=AS33)*(AT31:AT34=AT33)),"")</f>
        <v/>
      </c>
      <c r="AO85" s="194" t="str">
        <f>IF(AND(AN85&lt;&gt;"",AN85&gt;1),AO33,"")</f>
        <v/>
      </c>
      <c r="AP85" s="194">
        <f>SUMPRODUCT((CZ3:CZ54=AO85)*(DC3:DC54=AO86)*(DD3:DD54="W"))+SUMPRODUCT((CZ3:CZ54=AO85)*(DC3:DC54=AO87)*(DD3:DD54="W"))+SUMPRODUCT((CZ3:CZ54=AO85)*(DC3:DC54=AO84)*(DD3:DD54="W"))+SUMPRODUCT((CZ3:CZ54=AO86)*(DC3:DC54=AO85)*(DE3:DE54="W"))+SUMPRODUCT((CZ3:CZ54=AO87)*(DC3:DC54=AO85)*(DE3:DE54="W"))+SUMPRODUCT((CZ3:CZ54=AO84)*(DC3:DC54=AO85)*(DE3:DE54="W"))</f>
        <v>0</v>
      </c>
      <c r="AQ85" s="194">
        <f>SUMPRODUCT((CZ3:CZ54=AO85)*(DC3:DC54=AO86)*(DD3:DD54="D"))+SUMPRODUCT((CZ3:CZ54=AO85)*(DC3:DC54=AO87)*(DD3:DD54="D"))+SUMPRODUCT((CZ3:CZ54=AO85)*(DC3:DC54=AO84)*(DD3:DD54="D"))+SUMPRODUCT((CZ3:CZ54=AO86)*(DC3:DC54=AO85)*(DD3:DD54="D"))+SUMPRODUCT((CZ3:CZ54=AO87)*(DC3:DC54=AO85)*(DD3:DD54="D"))+SUMPRODUCT((CZ3:CZ54=AO84)*(DC3:DC54=AO85)*(DD3:DD54="D"))</f>
        <v>0</v>
      </c>
      <c r="AR85" s="194">
        <f>SUMPRODUCT((CZ3:CZ54=AO85)*(DC3:DC54=AO86)*(DD3:DD54="L"))+SUMPRODUCT((CZ3:CZ54=AO85)*(DC3:DC54=AO87)*(DD3:DD54="L"))+SUMPRODUCT((CZ3:CZ54=AO85)*(DC3:DC54=AO84)*(DD3:DD54="L"))+SUMPRODUCT((CZ3:CZ54=AO86)*(DC3:DC54=AO85)*(DE3:DE54="L"))+SUMPRODUCT((CZ3:CZ54=AO87)*(DC3:DC54=AO85)*(DE3:DE54="L"))+SUMPRODUCT((CZ3:CZ54=AO84)*(DC3:DC54=AO85)*(DE3:DE54="L"))</f>
        <v>0</v>
      </c>
      <c r="AS85" s="194">
        <f>SUMPRODUCT((CZ3:CZ54=AO85)*(DC3:DC54=AO86)*DA3:DA54)+SUMPRODUCT((CZ3:CZ54=AO85)*(DC3:DC54=AO87)*DA3:DA54)+SUMPRODUCT((CZ3:CZ54=AO85)*(DC3:DC54=AO83)*DA3:DA54)+SUMPRODUCT((CZ3:CZ54=AO85)*(DC3:DC54=AO84)*DA3:DA54)+SUMPRODUCT((CZ3:CZ54=AO86)*(DC3:DC54=AO85)*DB3:DB54)+SUMPRODUCT((CZ3:CZ54=AO87)*(DC3:DC54=AO85)*DB3:DB54)+SUMPRODUCT((CZ3:CZ54=AO83)*(DC3:DC54=AO85)*DB3:DB54)+SUMPRODUCT((CZ3:CZ54=AO84)*(DC3:DC54=AO85)*DB3:DB54)</f>
        <v>0</v>
      </c>
      <c r="AT85" s="194">
        <f>SUMPRODUCT((CZ3:CZ54=AO85)*(DC3:DC54=AO86)*DB3:DB54)+SUMPRODUCT((CZ3:CZ54=AO85)*(DC3:DC54=AO87)*DB3:DB54)+SUMPRODUCT((CZ3:CZ54=AO85)*(DC3:DC54=AO83)*DB3:DB54)+SUMPRODUCT((CZ3:CZ54=AO85)*(DC3:DC54=AO84)*DB3:DB54)+SUMPRODUCT((CZ3:CZ54=AO86)*(DC3:DC54=AO85)*DA3:DA54)+SUMPRODUCT((CZ3:CZ54=AO87)*(DC3:DC54=AO85)*DA3:DA54)+SUMPRODUCT((CZ3:CZ54=AO83)*(DC3:DC54=AO85)*DA3:DA54)+SUMPRODUCT((CZ3:CZ54=AO84)*(DC3:DC54=AO85)*DA3:DA54)</f>
        <v>0</v>
      </c>
      <c r="AU85" s="194">
        <f>AS85-AT85+1000</f>
        <v>1000</v>
      </c>
      <c r="AV85" s="194" t="str">
        <f t="shared" si="124"/>
        <v/>
      </c>
      <c r="AW85" s="194" t="str">
        <f>IF(AO85&lt;&gt;"",VLOOKUP(AO85,B4:H52,7,FALSE),"")</f>
        <v/>
      </c>
      <c r="AX85" s="194" t="str">
        <f>IF(AO85&lt;&gt;"",VLOOKUP(AO85,B4:H52,5,FALSE),"")</f>
        <v/>
      </c>
      <c r="AY85" s="194" t="str">
        <f>IF(AO85&lt;&gt;"",VLOOKUP(AO85,B4:J52,9,FALSE),"")</f>
        <v/>
      </c>
      <c r="AZ85" s="194" t="str">
        <f t="shared" si="125"/>
        <v/>
      </c>
      <c r="BA85" s="194" t="str">
        <f>IF(AO85&lt;&gt;"",RANK(AZ85,AZ83:AZ86),"")</f>
        <v/>
      </c>
      <c r="BB85" s="194" t="str">
        <f>IF(AO85&lt;&gt;"",SUMPRODUCT((AZ83:AZ86=AZ85)*(AU83:AU86&gt;AU85)),"")</f>
        <v/>
      </c>
      <c r="BC85" s="194" t="str">
        <f>IF(AO85&lt;&gt;"",SUMPRODUCT((AZ83:AZ86=AZ85)*(AU83:AU86=AU85)*(AS83:AS86&gt;AS85)),"")</f>
        <v/>
      </c>
      <c r="BD85" s="194" t="str">
        <f>IF(AO85&lt;&gt;"",SUMPRODUCT((AZ83:AZ86=AZ85)*(AU83:AU86=AU85)*(AS83:AS86=AS85)*(AW83:AW86&gt;AW85)),"")</f>
        <v/>
      </c>
      <c r="BE85" s="194" t="str">
        <f>IF(AO85&lt;&gt;"",SUMPRODUCT((AZ83:AZ86=AZ85)*(AU83:AU86=AU85)*(AS83:AS86=AS85)*(AW83:AW86=AW85)*(AX83:AX86&gt;AX85)),"")</f>
        <v/>
      </c>
      <c r="BF85" s="194" t="str">
        <f>IF(AO85&lt;&gt;"",SUMPRODUCT((AZ83:AZ86=AZ85)*(AU83:AU86=AU85)*(AS83:AS86=AS85)*(AW83:AW86=AW85)*(AX83:AX86=AX85)*(AY83:AY86&gt;AY85)),"")</f>
        <v/>
      </c>
      <c r="BG85" s="194" t="str">
        <f t="shared" ref="BG85:BG86" si="126">IF(AO85&lt;&gt;"",SUM(BA85:BF85)+1,"")</f>
        <v/>
      </c>
      <c r="DW85" s="20"/>
      <c r="DX85" s="20"/>
      <c r="DY85" s="20"/>
      <c r="DZ85" s="198"/>
      <c r="EA85" s="20"/>
      <c r="EB85" s="20"/>
    </row>
    <row r="86" spans="6:132" x14ac:dyDescent="0.25">
      <c r="F86" s="194">
        <v>1</v>
      </c>
      <c r="G86" s="194">
        <v>1</v>
      </c>
      <c r="H86" s="194">
        <v>1</v>
      </c>
      <c r="I86" s="194">
        <f>IF(COUNTIF(I31:I34,4)=4,1,SUMPRODUCT((I31:I34=I34)*(H31:H34=H34)*(F31:F34&gt;F34))+1)</f>
        <v>1</v>
      </c>
      <c r="S86" s="194">
        <v>1</v>
      </c>
      <c r="T86" s="194">
        <f>IF(U34&lt;&gt;"",SUMPRODUCT((AB31:AB34=AB34)*(AA31:AA34=AA34)*(Y31:Y34=Y34)*(Z31:Z34=Z34)),"")</f>
        <v>4</v>
      </c>
      <c r="U86" s="194" t="str">
        <f>IF(AND(T86&lt;&gt;"",T86&gt;1),U34,"")</f>
        <v>River Plate</v>
      </c>
      <c r="V86" s="194">
        <f>SUMPRODUCT((CZ3:CZ54=U86)*(DC3:DC54=U87)*(DD3:DD54="W"))+SUMPRODUCT((CZ3:CZ54=U86)*(DC3:DC54=U83)*(DD3:DD54="W"))+SUMPRODUCT((CZ3:CZ54=U86)*(DC3:DC54=U84)*(DD3:DD54="W"))+SUMPRODUCT((CZ3:CZ54=U86)*(DC3:DC54=U85)*(DD3:DD54="W"))+SUMPRODUCT((CZ3:CZ54=U87)*(DC3:DC54=U86)*(DE3:DE54="W"))+SUMPRODUCT((CZ3:CZ54=U83)*(DC3:DC54=U86)*(DE3:DE54="W"))+SUMPRODUCT((CZ3:CZ54=U84)*(DC3:DC54=U86)*(DE3:DE54="W"))+SUMPRODUCT((CZ3:CZ54=U85)*(DC3:DC54=U86)*(DE3:DE54="W"))</f>
        <v>0</v>
      </c>
      <c r="W86" s="194">
        <f>SUMPRODUCT((CZ3:CZ54=U86)*(DC3:DC54=U87)*(DD3:DD54="D"))+SUMPRODUCT((CZ3:CZ54=U86)*(DC3:DC54=U83)*(DD3:DD54="D"))+SUMPRODUCT((CZ3:CZ54=U86)*(DC3:DC54=U84)*(DD3:DD54="D"))+SUMPRODUCT((CZ3:CZ54=U86)*(DC3:DC54=U85)*(DD3:DD54="D"))+SUMPRODUCT((CZ3:CZ54=U87)*(DC3:DC54=U86)*(DD3:DD54="D"))+SUMPRODUCT((CZ3:CZ54=U83)*(DC3:DC54=U86)*(DD3:DD54="D"))+SUMPRODUCT((CZ3:CZ54=U84)*(DC3:DC54=U86)*(DD3:DD54="D"))+SUMPRODUCT((CZ3:CZ54=U85)*(DC3:DC54=U86)*(DD3:DD54="D"))</f>
        <v>0</v>
      </c>
      <c r="X86" s="194">
        <f>SUMPRODUCT((CZ3:CZ54=U86)*(DC3:DC54=U87)*(DD3:DD54="L"))+SUMPRODUCT((CZ3:CZ54=U86)*(DC3:DC54=U83)*(DD3:DD54="L"))+SUMPRODUCT((CZ3:CZ54=U86)*(DC3:DC54=U84)*(DD3:DD54="L"))+SUMPRODUCT((CZ3:CZ54=U86)*(DC3:DC54=U85)*(DD3:DD54="L"))+SUMPRODUCT((CZ3:CZ54=U87)*(DC3:DC54=U86)*(DE3:DE54="L"))+SUMPRODUCT((CZ3:CZ54=U83)*(DC3:DC54=U86)*(DE3:DE54="L"))+SUMPRODUCT((CZ3:CZ54=U84)*(DC3:DC54=U86)*(DE3:DE54="L"))+SUMPRODUCT((CZ3:CZ54=U85)*(DC3:DC54=U86)*(DE3:DE54="L"))</f>
        <v>0</v>
      </c>
      <c r="Y86" s="194">
        <f>SUMPRODUCT((CZ3:CZ54=U86)*(DC3:DC54=U87)*DA3:DA54)+SUMPRODUCT((CZ3:CZ54=U86)*(DC3:DC54=U83)*DA3:DA54)+SUMPRODUCT((CZ3:CZ54=U86)*(DC3:DC54=U84)*DA3:DA54)+SUMPRODUCT((CZ3:CZ54=U86)*(DC3:DC54=U85)*DA3:DA54)+SUMPRODUCT((CZ3:CZ54=U87)*(DC3:DC54=U86)*DB3:DB54)+SUMPRODUCT((CZ3:CZ54=U83)*(DC3:DC54=U86)*DB3:DB54)+SUMPRODUCT((CZ3:CZ54=U84)*(DC3:DC54=U86)*DB3:DB54)+SUMPRODUCT((CZ3:CZ54=U85)*(DC3:DC54=U86)*DB3:DB54)</f>
        <v>0</v>
      </c>
      <c r="Z86" s="194">
        <f>SUMPRODUCT((CZ3:CZ54=U86)*(DC3:DC54=U87)*DB3:DB54)+SUMPRODUCT((CZ3:CZ54=U86)*(DC3:DC54=U83)*DB3:DB54)+SUMPRODUCT((CZ3:CZ54=U86)*(DC3:DC54=U84)*DB3:DB54)+SUMPRODUCT((CZ3:CZ54=U86)*(DC3:DC54=U85)*DB3:DB54)+SUMPRODUCT((CZ3:CZ54=U87)*(DC3:DC54=U86)*DA3:DA54)+SUMPRODUCT((CZ3:CZ54=U83)*(DC3:DC54=U86)*DA3:DA54)+SUMPRODUCT((CZ3:CZ54=U84)*(DC3:DC54=U86)*DA3:DA54)+SUMPRODUCT((CZ3:CZ54=U85)*(DC3:DC54=U86)*DA3:DA54)</f>
        <v>0</v>
      </c>
      <c r="AA86" s="194">
        <f>Y86-Z86+1000</f>
        <v>1000</v>
      </c>
      <c r="AB86" s="194">
        <f t="shared" si="122"/>
        <v>0</v>
      </c>
      <c r="AC86" s="194">
        <f>IF(U86&lt;&gt;"",VLOOKUP(U86,B4:H52,7,FALSE),"")</f>
        <v>1000</v>
      </c>
      <c r="AD86" s="194">
        <f>IF(U86&lt;&gt;"",VLOOKUP(U86,B4:H52,5,FALSE),"")</f>
        <v>0</v>
      </c>
      <c r="AE86" s="194">
        <f>IF(U86&lt;&gt;"",VLOOKUP(U86,B4:J52,9,FALSE),"")</f>
        <v>25</v>
      </c>
      <c r="AF86" s="194">
        <f t="shared" si="123"/>
        <v>0</v>
      </c>
      <c r="AG86" s="194">
        <f>IF(U86&lt;&gt;"",RANK(AF86,AF83:AF86),"")</f>
        <v>1</v>
      </c>
      <c r="AH86" s="194">
        <f>IF(U86&lt;&gt;"",SUMPRODUCT((AF83:AF86=AF86)*(AA83:AA86&gt;AA86)),"")</f>
        <v>0</v>
      </c>
      <c r="AI86" s="194">
        <f>IF(U86&lt;&gt;"",SUMPRODUCT((AF83:AF86=AF86)*(AA83:AA86=AA86)*(Y83:Y86&gt;Y86)),"")</f>
        <v>0</v>
      </c>
      <c r="AJ86" s="194">
        <f>IF(U86&lt;&gt;"",SUMPRODUCT((AF83:AF86=AF86)*(AA83:AA86=AA86)*(Y83:Y86=Y86)*(AC83:AC86&gt;AC86)),"")</f>
        <v>0</v>
      </c>
      <c r="AK86" s="194">
        <f>IF(U86&lt;&gt;"",SUMPRODUCT((AF83:AF86=AF86)*(AA83:AA86=AA86)*(Y83:Y86=Y86)*(AC83:AC86=AC86)*(AD83:AD86&gt;AD86)),"")</f>
        <v>0</v>
      </c>
      <c r="AL86" s="194">
        <f>IF(U86&lt;&gt;"",SUMPRODUCT((AF83:AF86=AF86)*(AA83:AA86=AA86)*(Y83:Y86=Y86)*(AC83:AC86=AC86)*(AD83:AD86=AD86)*(AE83:AE86&gt;AE86)),"")</f>
        <v>0</v>
      </c>
      <c r="AM86" s="194">
        <f>IF(U86&lt;&gt;"",SUM(AG86:AL86),"")</f>
        <v>1</v>
      </c>
      <c r="AN86" s="194" t="str">
        <f>IF(AO34&lt;&gt;"",SUMPRODUCT((AV31:AV34=AV34)*(AU31:AU34=AU34)*(AS31:AS34=AS34)*(AT31:AT34=AT34)),"")</f>
        <v/>
      </c>
      <c r="AO86" s="194" t="str">
        <f>IF(AND(AN86&lt;&gt;"",AN86&gt;1),AO34,"")</f>
        <v/>
      </c>
      <c r="AP86" s="194" t="str">
        <f>IF(AO86&lt;&gt;"",SUMPRODUCT((CZ3:CZ54=AO86)*(DC3:DC54=AO87)*(DD3:DD54="W"))+SUMPRODUCT((CZ3:CZ54=AO86)*(DC3:DC54=AO84)*(DD3:DD54="W"))+SUMPRODUCT((CZ3:CZ54=AO86)*(DC3:DC54=AO85)*(DD3:DD54="W"))+SUMPRODUCT((CZ3:CZ54=AO87)*(DC3:DC54=AO86)*(DE3:DE54="W"))+SUMPRODUCT((CZ3:CZ54=AO84)*(DC3:DC54=AO86)*(DE3:DE54="W"))+SUMPRODUCT((CZ3:CZ54=AO85)*(DC3:DC54=AO86)*(DE3:DE54="W")),"")</f>
        <v/>
      </c>
      <c r="AQ86" s="194" t="str">
        <f>IF(AO86&lt;&gt;"",SUMPRODUCT((CZ3:CZ54=AO86)*(DC3:DC54=AO87)*(DD3:DD54="D"))+SUMPRODUCT((CZ3:CZ54=AO86)*(DC3:DC54=AO84)*(DD3:DD54="D"))+SUMPRODUCT((CZ3:CZ54=AO86)*(DC3:DC54=AO85)*(DD3:DD54="D"))+SUMPRODUCT((CZ3:CZ54=AO87)*(DC3:DC54=AO86)*(DD3:DD54="D"))+SUMPRODUCT((CZ3:CZ54=AO84)*(DC3:DC54=AO86)*(DD3:DD54="D"))+SUMPRODUCT((CZ3:CZ54=AO85)*(DC3:DC54=AO86)*(DD3:DD54="D")),"")</f>
        <v/>
      </c>
      <c r="AR86" s="194" t="str">
        <f>IF(AO86&lt;&gt;"",SUMPRODUCT((CZ3:CZ54=AO86)*(DC3:DC54=AO87)*(DD3:DD54="L"))+SUMPRODUCT((CZ3:CZ54=AO86)*(DC3:DC54=AO84)*(DD3:DD54="L"))+SUMPRODUCT((CZ3:CZ54=AO86)*(DC3:DC54=AO85)*(DD3:DD54="L"))+SUMPRODUCT((CZ3:CZ54=AO87)*(DC3:DC54=AO86)*(DE3:DE54="L"))+SUMPRODUCT((CZ3:CZ54=AO84)*(DC3:DC54=AO86)*(DE3:DE54="L"))+SUMPRODUCT((CZ3:CZ54=AO85)*(DC3:DC54=AO86)*(DE3:DE54="L")),"")</f>
        <v/>
      </c>
      <c r="AS86" s="194">
        <f>SUMPRODUCT((CZ3:CZ54=AO86)*(DC3:DC54=AO87)*DA3:DA54)+SUMPRODUCT((CZ3:CZ54=AO86)*(DC3:DC54=AO83)*DA3:DA54)+SUMPRODUCT((CZ3:CZ54=AO86)*(DC3:DC54=AO84)*DA3:DA54)+SUMPRODUCT((CZ3:CZ54=AO86)*(DC3:DC54=AO85)*DA3:DA54)+SUMPRODUCT((CZ3:CZ54=AO87)*(DC3:DC54=AO86)*DB3:DB54)+SUMPRODUCT((CZ3:CZ54=AO83)*(DC3:DC54=AO86)*DB3:DB54)+SUMPRODUCT((CZ3:CZ54=AO84)*(DC3:DC54=AO86)*DB3:DB54)+SUMPRODUCT((CZ3:CZ54=AO85)*(DC3:DC54=AO86)*DB3:DB54)</f>
        <v>0</v>
      </c>
      <c r="AT86" s="194">
        <f>SUMPRODUCT((CZ3:CZ54=AO86)*(DC3:DC54=AO87)*DB3:DB54)+SUMPRODUCT((CZ3:CZ54=AO86)*(DC3:DC54=AO83)*DB3:DB54)+SUMPRODUCT((CZ3:CZ54=AO86)*(DC3:DC54=AO84)*DB3:DB54)+SUMPRODUCT((CZ3:CZ54=AO86)*(DC3:DC54=AO85)*DB3:DB54)+SUMPRODUCT((CZ3:CZ54=AO87)*(DC3:DC54=AO86)*DA3:DA54)+SUMPRODUCT((CZ3:CZ54=AO83)*(DC3:DC54=AO86)*DA3:DA54)+SUMPRODUCT((CZ3:CZ54=AO84)*(DC3:DC54=AO86)*DA3:DA54)+SUMPRODUCT((CZ3:CZ54=AO85)*(DC3:DC54=AO86)*DA3:DA54)</f>
        <v>0</v>
      </c>
      <c r="AU86" s="194">
        <f>AS86-AT86+1000</f>
        <v>1000</v>
      </c>
      <c r="AV86" s="194" t="str">
        <f t="shared" si="124"/>
        <v/>
      </c>
      <c r="AW86" s="194" t="str">
        <f>IF(AO86&lt;&gt;"",VLOOKUP(AO86,B4:H52,7,FALSE),"")</f>
        <v/>
      </c>
      <c r="AX86" s="194" t="str">
        <f>IF(AO86&lt;&gt;"",VLOOKUP(AO86,B4:H52,5,FALSE),"")</f>
        <v/>
      </c>
      <c r="AY86" s="194" t="str">
        <f>IF(AO86&lt;&gt;"",VLOOKUP(AO86,B4:J52,9,FALSE),"")</f>
        <v/>
      </c>
      <c r="AZ86" s="194" t="str">
        <f t="shared" si="125"/>
        <v/>
      </c>
      <c r="BA86" s="194" t="str">
        <f>IF(AO86&lt;&gt;"",RANK(AZ86,AZ83:AZ86),"")</f>
        <v/>
      </c>
      <c r="BB86" s="194" t="str">
        <f>IF(AO86&lt;&gt;"",SUMPRODUCT((AZ83:AZ86=AZ86)*(AU83:AU86&gt;AU86)),"")</f>
        <v/>
      </c>
      <c r="BC86" s="194" t="str">
        <f>IF(AO86&lt;&gt;"",SUMPRODUCT((AZ83:AZ86=AZ86)*(AU83:AU86=AU86)*(AS83:AS86&gt;AS86)),"")</f>
        <v/>
      </c>
      <c r="BD86" s="194" t="str">
        <f>IF(AO86&lt;&gt;"",SUMPRODUCT((AZ83:AZ86=AZ86)*(AU83:AU86=AU86)*(AS83:AS86=AS86)*(AW83:AW86&gt;AW86)),"")</f>
        <v/>
      </c>
      <c r="BE86" s="194" t="str">
        <f>IF(AO86&lt;&gt;"",SUMPRODUCT((AZ83:AZ86=AZ86)*(AU83:AU86=AU86)*(AS83:AS86=AS86)*(AW83:AW86=AW86)*(AX83:AX86&gt;AX86)),"")</f>
        <v/>
      </c>
      <c r="BF86" s="194" t="str">
        <f>IF(AO86&lt;&gt;"",SUMPRODUCT((AZ83:AZ86=AZ86)*(AU83:AU86=AU86)*(AS83:AS86=AS86)*(AW83:AW86=AW86)*(AX83:AX86=AX86)*(AY83:AY86&gt;AY86)),"")</f>
        <v/>
      </c>
      <c r="BG86" s="194" t="str">
        <f t="shared" si="126"/>
        <v/>
      </c>
      <c r="DW86" s="20"/>
      <c r="DX86" s="20"/>
      <c r="DY86" s="20"/>
      <c r="DZ86" s="198"/>
      <c r="EA86" s="20"/>
      <c r="EB86" s="20"/>
    </row>
    <row r="87" spans="6:132" x14ac:dyDescent="0.25">
      <c r="DW87" s="20"/>
      <c r="DX87" s="20"/>
      <c r="DY87" s="20"/>
      <c r="DZ87" s="198"/>
      <c r="EA87" s="20"/>
      <c r="EB87" s="20"/>
    </row>
    <row r="88" spans="6:132" x14ac:dyDescent="0.25">
      <c r="T88" s="194">
        <f>IF(U89="",SUM(AG37:AL37),IF(U90="",SUM(AG38:AL38),IF(U91="",SUM(AG39:AL39),IF(U92="",SUM(AG40:AL40),0))))</f>
        <v>0</v>
      </c>
      <c r="AN88" s="194">
        <f>IF(AO90="",SUM(BA38:BF38),IF(AO91="",SUM(BA39:BF39),IF(AO92="",SUM(BA40:BF40),0)))</f>
        <v>0</v>
      </c>
      <c r="DW88" s="20"/>
      <c r="DX88" s="20"/>
      <c r="DY88" s="20"/>
      <c r="DZ88" s="198"/>
      <c r="EA88" s="20"/>
      <c r="EB88" s="20"/>
    </row>
    <row r="89" spans="6:132" x14ac:dyDescent="0.25">
      <c r="F89" s="194">
        <v>1</v>
      </c>
      <c r="G89" s="194">
        <v>1</v>
      </c>
      <c r="H89" s="194">
        <v>1</v>
      </c>
      <c r="I89" s="194">
        <f>IF(COUNTIF(I37:I40,4)=4,1,SUMPRODUCT((I37:I40=I37)*(H37:H40=H37)*(F37:F40&gt;F37))+1)</f>
        <v>1</v>
      </c>
      <c r="S89" s="194">
        <v>4</v>
      </c>
      <c r="T89" s="194">
        <f>IF(U37&lt;&gt;"",SUMPRODUCT((AB37:AB40=AB37)*(AA37:AA40=AA37)*(Y37:Y40=Y37)*(Z37:Z40=Z37)),"")</f>
        <v>4</v>
      </c>
      <c r="U89" s="194" t="str">
        <f>IF(AND(T89&lt;&gt;"",T89&gt;1),U37,"")</f>
        <v>Mamelodi Sundowns</v>
      </c>
      <c r="V89" s="194">
        <f>SUMPRODUCT((CZ3:CZ54=U89)*(DC3:DC54=U90)*(DD3:DD54="W"))+SUMPRODUCT((CZ3:CZ54=U89)*(DC3:DC54=U91)*(DD3:DD54="W"))+SUMPRODUCT((CZ3:CZ54=U89)*(DC3:DC54=U92)*(DD3:DD54="W"))+SUMPRODUCT((CZ3:CZ54=U89)*(DC3:DC54=U93)*(DD3:DD54="W"))+SUMPRODUCT((CZ3:CZ54=U90)*(DC3:DC54=U89)*(DE3:DE54="W"))+SUMPRODUCT((CZ3:CZ54=U91)*(DC3:DC54=U89)*(DE3:DE54="W"))+SUMPRODUCT((CZ3:CZ54=U92)*(DC3:DC54=U89)*(DE3:DE54="W"))+SUMPRODUCT((CZ3:CZ54=U93)*(DC3:DC54=U89)*(DE3:DE54="W"))</f>
        <v>0</v>
      </c>
      <c r="W89" s="194">
        <f>SUMPRODUCT((CZ3:CZ54=U89)*(DC3:DC54=U90)*(DD3:DD54="D"))+SUMPRODUCT((CZ3:CZ54=U89)*(DC3:DC54=U91)*(DD3:DD54="D"))+SUMPRODUCT((CZ3:CZ54=U89)*(DC3:DC54=U92)*(DD3:DD54="D"))+SUMPRODUCT((CZ3:CZ54=U89)*(DC3:DC54=U93)*(DD3:DD54="D"))+SUMPRODUCT((CZ3:CZ54=U90)*(DC3:DC54=U89)*(DD3:DD54="D"))+SUMPRODUCT((CZ3:CZ54=U91)*(DC3:DC54=U89)*(DD3:DD54="D"))+SUMPRODUCT((CZ3:CZ54=U92)*(DC3:DC54=U89)*(DD3:DD54="D"))+SUMPRODUCT((CZ3:CZ54=U93)*(DC3:DC54=U89)*(DD3:DD54="D"))</f>
        <v>0</v>
      </c>
      <c r="X89" s="194">
        <f>SUMPRODUCT((CZ3:CZ54=U89)*(DC3:DC54=U90)*(DD3:DD54="L"))+SUMPRODUCT((CZ3:CZ54=U89)*(DC3:DC54=U91)*(DD3:DD54="L"))+SUMPRODUCT((CZ3:CZ54=U89)*(DC3:DC54=U92)*(DD3:DD54="L"))+SUMPRODUCT((CZ3:CZ54=U89)*(DC3:DC54=U93)*(DD3:DD54="L"))+SUMPRODUCT((CZ3:CZ54=U90)*(DC3:DC54=U89)*(DE3:DE54="L"))+SUMPRODUCT((CZ3:CZ54=U91)*(DC3:DC54=U89)*(DE3:DE54="L"))+SUMPRODUCT((CZ3:CZ54=U92)*(DC3:DC54=U89)*(DE3:DE54="L"))+SUMPRODUCT((CZ3:CZ54=U93)*(DC3:DC54=U89)*(DE3:DE54="L"))</f>
        <v>0</v>
      </c>
      <c r="Y89" s="194">
        <f>SUMPRODUCT((CZ3:CZ54=U89)*(DC3:DC54=U90)*DA3:DA54)+SUMPRODUCT((CZ3:CZ54=U89)*(DC3:DC54=U91)*DA3:DA54)+SUMPRODUCT((CZ3:CZ54=U89)*(DC3:DC54=U92)*DA3:DA54)+SUMPRODUCT((CZ3:CZ54=U89)*(DC3:DC54=U93)*DA3:DA54)+SUMPRODUCT((CZ3:CZ54=U90)*(DC3:DC54=U89)*DB3:DB54)+SUMPRODUCT((CZ3:CZ54=U91)*(DC3:DC54=U89)*DB3:DB54)+SUMPRODUCT((CZ3:CZ54=U92)*(DC3:DC54=U89)*DB3:DB54)+SUMPRODUCT((CZ3:CZ54=U93)*(DC3:DC54=U89)*DB3:DB54)</f>
        <v>0</v>
      </c>
      <c r="Z89" s="194">
        <f>SUMPRODUCT((CZ3:CZ54=U89)*(DC3:DC54=U90)*DB3:DB54)+SUMPRODUCT((CZ3:CZ54=U89)*(DC3:DC54=U91)*DB3:DB54)+SUMPRODUCT((CZ3:CZ54=U89)*(DC3:DC54=U92)*DB3:DB54)+SUMPRODUCT((CZ3:CZ54=U89)*(DC3:DC54=U93)*DB3:DB54)+SUMPRODUCT((CZ3:CZ54=U90)*(DC3:DC54=U89)*DA3:DA54)+SUMPRODUCT((CZ3:CZ54=U91)*(DC3:DC54=U89)*DA3:DA54)+SUMPRODUCT((CZ3:CZ54=U92)*(DC3:DC54=U89)*DA3:DA54)+SUMPRODUCT((CZ3:CZ54=U93)*(DC3:DC54=U89)*DA3:DA54)</f>
        <v>0</v>
      </c>
      <c r="AA89" s="194">
        <f>Y89-Z89+1000</f>
        <v>1000</v>
      </c>
      <c r="AB89" s="194">
        <f>IF(U89&lt;&gt;"",V89*3+W89*1,"")</f>
        <v>0</v>
      </c>
      <c r="AC89" s="194">
        <f>IF(U89&lt;&gt;"",VLOOKUP(U89,B4:H52,7,FALSE),"")</f>
        <v>1000</v>
      </c>
      <c r="AD89" s="194">
        <f>IF(U89&lt;&gt;"",VLOOKUP(U89,B4:H52,5,FALSE),"")</f>
        <v>0</v>
      </c>
      <c r="AE89" s="194">
        <f>IF(U89&lt;&gt;"",VLOOKUP(U89,B4:J52,9,FALSE),"")</f>
        <v>3</v>
      </c>
      <c r="AF89" s="194">
        <f>AB89</f>
        <v>0</v>
      </c>
      <c r="AG89" s="194">
        <f>IF(U89&lt;&gt;"",RANK(AF89,AF89:AF92),"")</f>
        <v>1</v>
      </c>
      <c r="AH89" s="194">
        <f>IF(U89&lt;&gt;"",SUMPRODUCT((AF89:AF92=AF89)*(AA89:AA92&gt;AA89)),"")</f>
        <v>0</v>
      </c>
      <c r="AI89" s="194">
        <f>IF(U89&lt;&gt;"",SUMPRODUCT((AF89:AF92=AF89)*(AA89:AA92=AA89)*(Y89:Y92&gt;Y89)),"")</f>
        <v>0</v>
      </c>
      <c r="AJ89" s="194">
        <f>IF(U89&lt;&gt;"",SUMPRODUCT((AF89:AF92=AF89)*(AA89:AA92=AA89)*(Y89:Y92=Y89)*(AC89:AC92&gt;AC89)),"")</f>
        <v>0</v>
      </c>
      <c r="AK89" s="194">
        <f>IF(U89&lt;&gt;"",SUMPRODUCT((AF89:AF92=AF89)*(AA89:AA92=AA89)*(Y89:Y92=Y89)*(AC89:AC92=AC89)*(AD89:AD92&gt;AD89)),"")</f>
        <v>0</v>
      </c>
      <c r="AL89" s="194">
        <f>IF(U89&lt;&gt;"",SUMPRODUCT((AF89:AF92=AF89)*(AA89:AA92=AA89)*(Y89:Y92=Y89)*(AC89:AC92=AC89)*(AD89:AD92=AD89)*(AE89:AE92&gt;AE89)),"")</f>
        <v>3</v>
      </c>
      <c r="AM89" s="194">
        <f>IF(U89&lt;&gt;"",SUM(AG89:AL89),"")</f>
        <v>4</v>
      </c>
      <c r="DW89" s="20"/>
      <c r="DX89" s="20"/>
      <c r="DY89" s="20"/>
      <c r="DZ89" s="198"/>
      <c r="EA89" s="20"/>
      <c r="EB89" s="20"/>
    </row>
    <row r="90" spans="6:132" x14ac:dyDescent="0.25">
      <c r="F90" s="194">
        <v>1</v>
      </c>
      <c r="G90" s="194">
        <v>1</v>
      </c>
      <c r="H90" s="194">
        <v>1</v>
      </c>
      <c r="I90" s="194">
        <f>IF(COUNTIF(I37:I40,4)=4,1,SUMPRODUCT((I37:I40=I38)*(H37:H40=H38)*(F37:F40&gt;F38))+1)</f>
        <v>1</v>
      </c>
      <c r="S90" s="194">
        <v>3</v>
      </c>
      <c r="T90" s="194">
        <f>IF(U38&lt;&gt;"",SUMPRODUCT((AB37:AB40=AB38)*(AA37:AA40=AA38)*(Y37:Y40=Y38)*(Z37:Z40=Z38)),"")</f>
        <v>4</v>
      </c>
      <c r="U90" s="194" t="str">
        <f>IF(AND(T90&lt;&gt;"",T90&gt;1),U38,"")</f>
        <v>Ulsan HD</v>
      </c>
      <c r="V90" s="194">
        <f>SUMPRODUCT((CZ3:CZ54=U90)*(DC3:DC54=U91)*(DD3:DD54="W"))+SUMPRODUCT((CZ3:CZ54=U90)*(DC3:DC54=U92)*(DD3:DD54="W"))+SUMPRODUCT((CZ3:CZ54=U90)*(DC3:DC54=U93)*(DD3:DD54="W"))+SUMPRODUCT((CZ3:CZ54=U90)*(DC3:DC54=U89)*(DD3:DD54="W"))+SUMPRODUCT((CZ3:CZ54=U91)*(DC3:DC54=U90)*(DE3:DE54="W"))+SUMPRODUCT((CZ3:CZ54=U92)*(DC3:DC54=U90)*(DE3:DE54="W"))+SUMPRODUCT((CZ3:CZ54=U93)*(DC3:DC54=U90)*(DE3:DE54="W"))+SUMPRODUCT((CZ3:CZ54=U89)*(DC3:DC54=U90)*(DE3:DE54="W"))</f>
        <v>0</v>
      </c>
      <c r="W90" s="194">
        <f>SUMPRODUCT((CZ3:CZ54=U90)*(DC3:DC54=U91)*(DD3:DD54="D"))+SUMPRODUCT((CZ3:CZ54=U90)*(DC3:DC54=U92)*(DD3:DD54="D"))+SUMPRODUCT((CZ3:CZ54=U90)*(DC3:DC54=U93)*(DD3:DD54="D"))+SUMPRODUCT((CZ3:CZ54=U90)*(DC3:DC54=U89)*(DD3:DD54="D"))+SUMPRODUCT((CZ3:CZ54=U91)*(DC3:DC54=U90)*(DD3:DD54="D"))+SUMPRODUCT((CZ3:CZ54=U92)*(DC3:DC54=U90)*(DD3:DD54="D"))+SUMPRODUCT((CZ3:CZ54=U93)*(DC3:DC54=U90)*(DD3:DD54="D"))+SUMPRODUCT((CZ3:CZ54=U89)*(DC3:DC54=U90)*(DD3:DD54="D"))</f>
        <v>0</v>
      </c>
      <c r="X90" s="194">
        <f>SUMPRODUCT((CZ3:CZ54=U90)*(DC3:DC54=U91)*(DD3:DD54="L"))+SUMPRODUCT((CZ3:CZ54=U90)*(DC3:DC54=U92)*(DD3:DD54="L"))+SUMPRODUCT((CZ3:CZ54=U90)*(DC3:DC54=U93)*(DD3:DD54="L"))+SUMPRODUCT((CZ3:CZ54=U90)*(DC3:DC54=U89)*(DD3:DD54="L"))+SUMPRODUCT((CZ3:CZ54=U91)*(DC3:DC54=U90)*(DE3:DE54="L"))+SUMPRODUCT((CZ3:CZ54=U92)*(DC3:DC54=U90)*(DE3:DE54="L"))+SUMPRODUCT((CZ3:CZ54=U93)*(DC3:DC54=U90)*(DE3:DE54="L"))+SUMPRODUCT((CZ3:CZ54=U89)*(DC3:DC54=U90)*(DE3:DE54="L"))</f>
        <v>0</v>
      </c>
      <c r="Y90" s="194">
        <f>SUMPRODUCT((CZ3:CZ54=U90)*(DC3:DC54=U91)*DA3:DA54)+SUMPRODUCT((CZ3:CZ54=U90)*(DC3:DC54=U92)*DA3:DA54)+SUMPRODUCT((CZ3:CZ54=U90)*(DC3:DC54=U93)*DA3:DA54)+SUMPRODUCT((CZ3:CZ54=U90)*(DC3:DC54=U89)*DA3:DA54)+SUMPRODUCT((CZ3:CZ54=U91)*(DC3:DC54=U90)*DB3:DB54)+SUMPRODUCT((CZ3:CZ54=U92)*(DC3:DC54=U90)*DB3:DB54)+SUMPRODUCT((CZ3:CZ54=U93)*(DC3:DC54=U90)*DB3:DB54)+SUMPRODUCT((CZ3:CZ54=U89)*(DC3:DC54=U90)*DB3:DB54)</f>
        <v>0</v>
      </c>
      <c r="Z90" s="194">
        <f>SUMPRODUCT((CZ3:CZ54=U90)*(DC3:DC54=U91)*DB3:DB54)+SUMPRODUCT((CZ3:CZ54=U90)*(DC3:DC54=U92)*DB3:DB54)+SUMPRODUCT((CZ3:CZ54=U90)*(DC3:DC54=U93)*DB3:DB54)+SUMPRODUCT((CZ3:CZ54=U90)*(DC3:DC54=U89)*DB3:DB54)+SUMPRODUCT((CZ3:CZ54=U91)*(DC3:DC54=U90)*DA3:DA54)+SUMPRODUCT((CZ3:CZ54=U92)*(DC3:DC54=U90)*DA3:DA54)+SUMPRODUCT((CZ3:CZ54=U93)*(DC3:DC54=U90)*DA3:DA54)+SUMPRODUCT((CZ3:CZ54=U89)*(DC3:DC54=U90)*DA3:DA54)</f>
        <v>0</v>
      </c>
      <c r="AA90" s="194">
        <f>Y90-Z90+1000</f>
        <v>1000</v>
      </c>
      <c r="AB90" s="194">
        <f t="shared" ref="AB90:AB92" si="127">IF(U90&lt;&gt;"",V90*3+W90*1,"")</f>
        <v>0</v>
      </c>
      <c r="AC90" s="194">
        <f>IF(U90&lt;&gt;"",VLOOKUP(U90,B4:H52,7,FALSE),"")</f>
        <v>1000</v>
      </c>
      <c r="AD90" s="194">
        <f>IF(U90&lt;&gt;"",VLOOKUP(U90,B4:H52,5,FALSE),"")</f>
        <v>0</v>
      </c>
      <c r="AE90" s="194">
        <f>IF(U90&lt;&gt;"",VLOOKUP(U90,B4:J52,9,FALSE),"")</f>
        <v>11</v>
      </c>
      <c r="AF90" s="194">
        <f t="shared" ref="AF90:AF92" si="128">AB90</f>
        <v>0</v>
      </c>
      <c r="AG90" s="194">
        <f>IF(U90&lt;&gt;"",RANK(AF90,AF89:AF92),"")</f>
        <v>1</v>
      </c>
      <c r="AH90" s="194">
        <f>IF(U90&lt;&gt;"",SUMPRODUCT((AF89:AF92=AF90)*(AA89:AA92&gt;AA90)),"")</f>
        <v>0</v>
      </c>
      <c r="AI90" s="194">
        <f>IF(U90&lt;&gt;"",SUMPRODUCT((AF89:AF92=AF90)*(AA89:AA92=AA90)*(Y89:Y92&gt;Y90)),"")</f>
        <v>0</v>
      </c>
      <c r="AJ90" s="194">
        <f>IF(U90&lt;&gt;"",SUMPRODUCT((AF89:AF92=AF90)*(AA89:AA92=AA90)*(Y89:Y92=Y90)*(AC89:AC92&gt;AC90)),"")</f>
        <v>0</v>
      </c>
      <c r="AK90" s="194">
        <f>IF(U90&lt;&gt;"",SUMPRODUCT((AF89:AF92=AF90)*(AA89:AA92=AA90)*(Y89:Y92=Y90)*(AC89:AC92=AC90)*(AD89:AD92&gt;AD90)),"")</f>
        <v>0</v>
      </c>
      <c r="AL90" s="194">
        <f>IF(U90&lt;&gt;"",SUMPRODUCT((AF89:AF92=AF90)*(AA89:AA92=AA90)*(Y89:Y92=Y90)*(AC89:AC92=AC90)*(AD89:AD92=AD90)*(AE89:AE92&gt;AE90)),"")</f>
        <v>2</v>
      </c>
      <c r="AM90" s="194">
        <f>IF(U90&lt;&gt;"",SUM(AG90:AL90),"")</f>
        <v>3</v>
      </c>
      <c r="AN90" s="194" t="str">
        <f>IF(AO38&lt;&gt;"",SUMPRODUCT((AV37:AV40=AV38)*(AU37:AU40=AU38)*(AS37:AS40=AS38)*(AT37:AT40=AT38)),"")</f>
        <v/>
      </c>
      <c r="AO90" s="194" t="str">
        <f>IF(AND(AN90&lt;&gt;"",AN90&gt;1),AO38,"")</f>
        <v/>
      </c>
      <c r="AP90" s="194">
        <f>SUMPRODUCT((CZ3:CZ54=AO90)*(DC3:DC54=AO91)*(DD3:DD54="W"))+SUMPRODUCT((CZ3:CZ54=AO90)*(DC3:DC54=AO92)*(DD3:DD54="W"))+SUMPRODUCT((CZ3:CZ54=AO90)*(DC3:DC54=AO93)*(DD3:DD54="W"))+SUMPRODUCT((CZ3:CZ54=AO91)*(DC3:DC54=AO90)*(DE3:DE54="W"))+SUMPRODUCT((CZ3:CZ54=AO92)*(DC3:DC54=AO90)*(DE3:DE54="W"))+SUMPRODUCT((CZ3:CZ54=AO93)*(DC3:DC54=AO90)*(DE3:DE54="W"))</f>
        <v>0</v>
      </c>
      <c r="AQ90" s="194">
        <f>SUMPRODUCT((CZ3:CZ54=AO90)*(DC3:DC54=AO91)*(DD3:DD54="D"))+SUMPRODUCT((CZ3:CZ54=AO90)*(DC3:DC54=AO92)*(DD3:DD54="D"))+SUMPRODUCT((CZ3:CZ54=AO90)*(DC3:DC54=AO93)*(DD3:DD54="D"))+SUMPRODUCT((CZ3:CZ54=AO91)*(DC3:DC54=AO90)*(DD3:DD54="D"))+SUMPRODUCT((CZ3:CZ54=AO92)*(DC3:DC54=AO90)*(DD3:DD54="D"))+SUMPRODUCT((CZ3:CZ54=AO93)*(DC3:DC54=AO90)*(DD3:DD54="D"))</f>
        <v>0</v>
      </c>
      <c r="AR90" s="194">
        <f>SUMPRODUCT((CZ3:CZ54=AO90)*(DC3:DC54=AO91)*(DD3:DD54="L"))+SUMPRODUCT((CZ3:CZ54=AO90)*(DC3:DC54=AO92)*(DD3:DD54="L"))+SUMPRODUCT((CZ3:CZ54=AO90)*(DC3:DC54=AO93)*(DD3:DD54="L"))+SUMPRODUCT((CZ3:CZ54=AO91)*(DC3:DC54=AO90)*(DE3:DE54="L"))+SUMPRODUCT((CZ3:CZ54=AO92)*(DC3:DC54=AO90)*(DE3:DE54="L"))+SUMPRODUCT((CZ3:CZ54=AO93)*(DC3:DC54=AO90)*(DE3:DE54="L"))</f>
        <v>0</v>
      </c>
      <c r="AS90" s="194">
        <f>SUMPRODUCT((CZ3:CZ54=AO90)*(DC3:DC54=AO91)*DA3:DA54)+SUMPRODUCT((CZ3:CZ54=AO90)*(DC3:DC54=AO92)*DA3:DA54)+SUMPRODUCT((CZ3:CZ54=AO90)*(DC3:DC54=AO93)*DA3:DA54)+SUMPRODUCT((CZ3:CZ54=AO90)*(DC3:DC54=AO89)*DA3:DA54)+SUMPRODUCT((CZ3:CZ54=AO91)*(DC3:DC54=AO90)*DB3:DB54)+SUMPRODUCT((CZ3:CZ54=AO92)*(DC3:DC54=AO90)*DB3:DB54)+SUMPRODUCT((CZ3:CZ54=AO93)*(DC3:DC54=AO90)*DB3:DB54)+SUMPRODUCT((CZ3:CZ54=AO89)*(DC3:DC54=AO90)*DB3:DB54)</f>
        <v>0</v>
      </c>
      <c r="AT90" s="194">
        <f>SUMPRODUCT((CZ3:CZ54=AO90)*(DC3:DC54=AO91)*DB3:DB54)+SUMPRODUCT((CZ3:CZ54=AO90)*(DC3:DC54=AO92)*DB3:DB54)+SUMPRODUCT((CZ3:CZ54=AO90)*(DC3:DC54=AO93)*DB3:DB54)+SUMPRODUCT((CZ3:CZ54=AO90)*(DC3:DC54=AO89)*DB3:DB54)+SUMPRODUCT((CZ3:CZ54=AO91)*(DC3:DC54=AO90)*DA3:DA54)+SUMPRODUCT((CZ3:CZ54=AO92)*(DC3:DC54=AO90)*DA3:DA54)+SUMPRODUCT((CZ3:CZ54=AO93)*(DC3:DC54=AO90)*DA3:DA54)+SUMPRODUCT((CZ3:CZ54=AO89)*(DC3:DC54=AO90)*DA3:DA54)</f>
        <v>0</v>
      </c>
      <c r="AU90" s="194">
        <f>AS90-AT90+1000</f>
        <v>1000</v>
      </c>
      <c r="AV90" s="194" t="str">
        <f t="shared" ref="AV90:AV92" si="129">IF(AO90&lt;&gt;"",AP90*3+AQ90*1,"")</f>
        <v/>
      </c>
      <c r="AW90" s="194" t="str">
        <f>IF(AO90&lt;&gt;"",VLOOKUP(AO90,B4:H52,7,FALSE),"")</f>
        <v/>
      </c>
      <c r="AX90" s="194" t="str">
        <f>IF(AO90&lt;&gt;"",VLOOKUP(AO90,B4:H52,5,FALSE),"")</f>
        <v/>
      </c>
      <c r="AY90" s="194" t="str">
        <f>IF(AO90&lt;&gt;"",VLOOKUP(AO90,B4:J52,9,FALSE),"")</f>
        <v/>
      </c>
      <c r="AZ90" s="194" t="str">
        <f t="shared" ref="AZ90:AZ92" si="130">AV90</f>
        <v/>
      </c>
      <c r="BA90" s="194" t="str">
        <f>IF(AO90&lt;&gt;"",RANK(AZ90,AZ89:AZ92),"")</f>
        <v/>
      </c>
      <c r="BB90" s="194" t="str">
        <f>IF(AO90&lt;&gt;"",SUMPRODUCT((AZ89:AZ92=AZ90)*(AU89:AU92&gt;AU90)),"")</f>
        <v/>
      </c>
      <c r="BC90" s="194" t="str">
        <f>IF(AO90&lt;&gt;"",SUMPRODUCT((AZ89:AZ92=AZ90)*(AU89:AU92=AU90)*(AS89:AS92&gt;AS90)),"")</f>
        <v/>
      </c>
      <c r="BD90" s="194" t="str">
        <f>IF(AO90&lt;&gt;"",SUMPRODUCT((AZ89:AZ92=AZ90)*(AU89:AU92=AU90)*(AS89:AS92=AS90)*(AW89:AW92&gt;AW90)),"")</f>
        <v/>
      </c>
      <c r="BE90" s="194" t="str">
        <f>IF(AO90&lt;&gt;"",SUMPRODUCT((AZ89:AZ92=AZ90)*(AU89:AU92=AU90)*(AS89:AS92=AS90)*(AW89:AW92=AW90)*(AX89:AX92&gt;AX90)),"")</f>
        <v/>
      </c>
      <c r="BF90" s="194" t="str">
        <f>IF(AO90&lt;&gt;"",SUMPRODUCT((AZ89:AZ92=AZ90)*(AU89:AU92=AU90)*(AS89:AS92=AS90)*(AW89:AW92=AW90)*(AX89:AX92=AX90)*(AY89:AY92&gt;AY90)),"")</f>
        <v/>
      </c>
      <c r="BG90" s="194" t="str">
        <f>IF(AO90&lt;&gt;"",SUM(BA90:BF90)+1,"")</f>
        <v/>
      </c>
      <c r="DW90" s="20"/>
      <c r="DX90" s="20"/>
      <c r="DY90" s="20"/>
      <c r="DZ90" s="206"/>
      <c r="EA90" s="20"/>
      <c r="EB90" s="20"/>
    </row>
    <row r="91" spans="6:132" x14ac:dyDescent="0.25">
      <c r="F91" s="194">
        <v>1</v>
      </c>
      <c r="G91" s="194">
        <v>1</v>
      </c>
      <c r="H91" s="194">
        <v>1</v>
      </c>
      <c r="I91" s="194">
        <f>IF(COUNTIF(I37:I40,4)=4,1,SUMPRODUCT((I37:I40=I39)*(H37:H40=H39)*(F37:F40&gt;F39))+1)</f>
        <v>1</v>
      </c>
      <c r="S91" s="194">
        <v>2</v>
      </c>
      <c r="T91" s="194">
        <f>IF(U39&lt;&gt;"",SUMPRODUCT((AB37:AB40=AB39)*(AA37:AA40=AA39)*(Y37:Y40=Y39)*(Z37:Z40=Z39)),"")</f>
        <v>4</v>
      </c>
      <c r="U91" s="194" t="str">
        <f>IF(AND(T91&lt;&gt;"",T91&gt;1),U39,"")</f>
        <v>Borussia Dortmund</v>
      </c>
      <c r="V91" s="194">
        <f>SUMPRODUCT((CZ3:CZ54=U91)*(DC3:DC54=U92)*(DD3:DD54="W"))+SUMPRODUCT((CZ3:CZ54=U91)*(DC3:DC54=U93)*(DD3:DD54="W"))+SUMPRODUCT((CZ3:CZ54=U91)*(DC3:DC54=U89)*(DD3:DD54="W"))+SUMPRODUCT((CZ3:CZ54=U91)*(DC3:DC54=U90)*(DD3:DD54="W"))+SUMPRODUCT((CZ3:CZ54=U92)*(DC3:DC54=U91)*(DE3:DE54="W"))+SUMPRODUCT((CZ3:CZ54=U93)*(DC3:DC54=U91)*(DE3:DE54="W"))+SUMPRODUCT((CZ3:CZ54=U89)*(DC3:DC54=U91)*(DE3:DE54="W"))+SUMPRODUCT((CZ3:CZ54=U90)*(DC3:DC54=U91)*(DE3:DE54="W"))</f>
        <v>0</v>
      </c>
      <c r="W91" s="194">
        <f>SUMPRODUCT((CZ3:CZ54=U91)*(DC3:DC54=U92)*(DD3:DD54="D"))+SUMPRODUCT((CZ3:CZ54=U91)*(DC3:DC54=U93)*(DD3:DD54="D"))+SUMPRODUCT((CZ3:CZ54=U91)*(DC3:DC54=U89)*(DD3:DD54="D"))+SUMPRODUCT((CZ3:CZ54=U91)*(DC3:DC54=U90)*(DD3:DD54="D"))+SUMPRODUCT((CZ3:CZ54=U92)*(DC3:DC54=U91)*(DD3:DD54="D"))+SUMPRODUCT((CZ3:CZ54=U93)*(DC3:DC54=U91)*(DD3:DD54="D"))+SUMPRODUCT((CZ3:CZ54=U89)*(DC3:DC54=U91)*(DD3:DD54="D"))+SUMPRODUCT((CZ3:CZ54=U90)*(DC3:DC54=U91)*(DD3:DD54="D"))</f>
        <v>0</v>
      </c>
      <c r="X91" s="194">
        <f>SUMPRODUCT((CZ3:CZ54=U91)*(DC3:DC54=U92)*(DD3:DD54="L"))+SUMPRODUCT((CZ3:CZ54=U91)*(DC3:DC54=U93)*(DD3:DD54="L"))+SUMPRODUCT((CZ3:CZ54=U91)*(DC3:DC54=U89)*(DD3:DD54="L"))+SUMPRODUCT((CZ3:CZ54=U91)*(DC3:DC54=U90)*(DD3:DD54="L"))+SUMPRODUCT((CZ3:CZ54=U92)*(DC3:DC54=U91)*(DE3:DE54="L"))+SUMPRODUCT((CZ3:CZ54=U93)*(DC3:DC54=U91)*(DE3:DE54="L"))+SUMPRODUCT((CZ3:CZ54=U89)*(DC3:DC54=U91)*(DE3:DE54="L"))+SUMPRODUCT((CZ3:CZ54=U90)*(DC3:DC54=U91)*(DE3:DE54="L"))</f>
        <v>0</v>
      </c>
      <c r="Y91" s="194">
        <f>SUMPRODUCT((CZ3:CZ54=U91)*(DC3:DC54=U92)*DA3:DA54)+SUMPRODUCT((CZ3:CZ54=U91)*(DC3:DC54=U93)*DA3:DA54)+SUMPRODUCT((CZ3:CZ54=U91)*(DC3:DC54=U89)*DA3:DA54)+SUMPRODUCT((CZ3:CZ54=U91)*(DC3:DC54=U90)*DA3:DA54)+SUMPRODUCT((CZ3:CZ54=U92)*(DC3:DC54=U91)*DB3:DB54)+SUMPRODUCT((CZ3:CZ54=U93)*(DC3:DC54=U91)*DB3:DB54)+SUMPRODUCT((CZ3:CZ54=U89)*(DC3:DC54=U91)*DB3:DB54)+SUMPRODUCT((CZ3:CZ54=U90)*(DC3:DC54=U91)*DB3:DB54)</f>
        <v>0</v>
      </c>
      <c r="Z91" s="194">
        <f>SUMPRODUCT((CZ3:CZ54=U91)*(DC3:DC54=U92)*DB3:DB54)+SUMPRODUCT((CZ3:CZ54=U91)*(DC3:DC54=U93)*DB3:DB54)+SUMPRODUCT((CZ3:CZ54=U91)*(DC3:DC54=U89)*DB3:DB54)+SUMPRODUCT((CZ3:CZ54=U91)*(DC3:DC54=U90)*DB3:DB54)+SUMPRODUCT((CZ3:CZ54=U92)*(DC3:DC54=U91)*DA3:DA54)+SUMPRODUCT((CZ3:CZ54=U93)*(DC3:DC54=U91)*DA3:DA54)+SUMPRODUCT((CZ3:CZ54=U89)*(DC3:DC54=U91)*DA3:DA54)+SUMPRODUCT((CZ3:CZ54=U90)*(DC3:DC54=U91)*DA3:DA54)</f>
        <v>0</v>
      </c>
      <c r="AA91" s="194">
        <f>Y91-Z91+1000</f>
        <v>1000</v>
      </c>
      <c r="AB91" s="194">
        <f t="shared" si="127"/>
        <v>0</v>
      </c>
      <c r="AC91" s="194">
        <f>IF(U91&lt;&gt;"",VLOOKUP(U91,B4:H52,7,FALSE),"")</f>
        <v>1000</v>
      </c>
      <c r="AD91" s="194">
        <f>IF(U91&lt;&gt;"",VLOOKUP(U91,B4:H52,5,FALSE),"")</f>
        <v>0</v>
      </c>
      <c r="AE91" s="194">
        <f>IF(U91&lt;&gt;"",VLOOKUP(U91,B4:J52,9,FALSE),"")</f>
        <v>20</v>
      </c>
      <c r="AF91" s="194">
        <f t="shared" si="128"/>
        <v>0</v>
      </c>
      <c r="AG91" s="194">
        <f>IF(U91&lt;&gt;"",RANK(AF91,AF89:AF92),"")</f>
        <v>1</v>
      </c>
      <c r="AH91" s="194">
        <f>IF(U91&lt;&gt;"",SUMPRODUCT((AF89:AF92=AF91)*(AA89:AA92&gt;AA91)),"")</f>
        <v>0</v>
      </c>
      <c r="AI91" s="194">
        <f>IF(U91&lt;&gt;"",SUMPRODUCT((AF89:AF92=AF91)*(AA89:AA92=AA91)*(Y89:Y92&gt;Y91)),"")</f>
        <v>0</v>
      </c>
      <c r="AJ91" s="194">
        <f>IF(U91&lt;&gt;"",SUMPRODUCT((AF89:AF92=AF91)*(AA89:AA92=AA91)*(Y89:Y92=Y91)*(AC89:AC92&gt;AC91)),"")</f>
        <v>0</v>
      </c>
      <c r="AK91" s="194">
        <f>IF(U91&lt;&gt;"",SUMPRODUCT((AF89:AF92=AF91)*(AA89:AA92=AA91)*(Y89:Y92=Y91)*(AC89:AC92=AC91)*(AD89:AD92&gt;AD91)),"")</f>
        <v>0</v>
      </c>
      <c r="AL91" s="194">
        <f>IF(U91&lt;&gt;"",SUMPRODUCT((AF89:AF92=AF91)*(AA89:AA92=AA91)*(Y89:Y92=Y91)*(AC89:AC92=AC91)*(AD89:AD92=AD91)*(AE89:AE92&gt;AE91)),"")</f>
        <v>1</v>
      </c>
      <c r="AM91" s="194">
        <f>IF(U91&lt;&gt;"",SUM(AG91:AL91),"")</f>
        <v>2</v>
      </c>
      <c r="AN91" s="194" t="str">
        <f>IF(AO39&lt;&gt;"",SUMPRODUCT((AV37:AV40=AV39)*(AU37:AU40=AU39)*(AS37:AS40=AS39)*(AT37:AT40=AT39)),"")</f>
        <v/>
      </c>
      <c r="AO91" s="194" t="str">
        <f>IF(AND(AN91&lt;&gt;"",AN91&gt;1),AO39,"")</f>
        <v/>
      </c>
      <c r="AP91" s="194">
        <f>SUMPRODUCT((CZ3:CZ54=AO91)*(DC3:DC54=AO92)*(DD3:DD54="W"))+SUMPRODUCT((CZ3:CZ54=AO91)*(DC3:DC54=AO93)*(DD3:DD54="W"))+SUMPRODUCT((CZ3:CZ54=AO91)*(DC3:DC54=AO90)*(DD3:DD54="W"))+SUMPRODUCT((CZ3:CZ54=AO92)*(DC3:DC54=AO91)*(DE3:DE54="W"))+SUMPRODUCT((CZ3:CZ54=AO93)*(DC3:DC54=AO91)*(DE3:DE54="W"))+SUMPRODUCT((CZ3:CZ54=AO90)*(DC3:DC54=AO91)*(DE3:DE54="W"))</f>
        <v>0</v>
      </c>
      <c r="AQ91" s="194">
        <f>SUMPRODUCT((CZ3:CZ54=AO91)*(DC3:DC54=AO92)*(DD3:DD54="D"))+SUMPRODUCT((CZ3:CZ54=AO91)*(DC3:DC54=AO93)*(DD3:DD54="D"))+SUMPRODUCT((CZ3:CZ54=AO91)*(DC3:DC54=AO90)*(DD3:DD54="D"))+SUMPRODUCT((CZ3:CZ54=AO92)*(DC3:DC54=AO91)*(DD3:DD54="D"))+SUMPRODUCT((CZ3:CZ54=AO93)*(DC3:DC54=AO91)*(DD3:DD54="D"))+SUMPRODUCT((CZ3:CZ54=AO90)*(DC3:DC54=AO91)*(DD3:DD54="D"))</f>
        <v>0</v>
      </c>
      <c r="AR91" s="194">
        <f>SUMPRODUCT((CZ3:CZ54=AO91)*(DC3:DC54=AO92)*(DD3:DD54="L"))+SUMPRODUCT((CZ3:CZ54=AO91)*(DC3:DC54=AO93)*(DD3:DD54="L"))+SUMPRODUCT((CZ3:CZ54=AO91)*(DC3:DC54=AO90)*(DD3:DD54="L"))+SUMPRODUCT((CZ3:CZ54=AO92)*(DC3:DC54=AO91)*(DE3:DE54="L"))+SUMPRODUCT((CZ3:CZ54=AO93)*(DC3:DC54=AO91)*(DE3:DE54="L"))+SUMPRODUCT((CZ3:CZ54=AO90)*(DC3:DC54=AO91)*(DE3:DE54="L"))</f>
        <v>0</v>
      </c>
      <c r="AS91" s="194">
        <f>SUMPRODUCT((CZ3:CZ54=AO91)*(DC3:DC54=AO92)*DA3:DA54)+SUMPRODUCT((CZ3:CZ54=AO91)*(DC3:DC54=AO93)*DA3:DA54)+SUMPRODUCT((CZ3:CZ54=AO91)*(DC3:DC54=AO89)*DA3:DA54)+SUMPRODUCT((CZ3:CZ54=AO91)*(DC3:DC54=AO90)*DA3:DA54)+SUMPRODUCT((CZ3:CZ54=AO92)*(DC3:DC54=AO91)*DB3:DB54)+SUMPRODUCT((CZ3:CZ54=AO93)*(DC3:DC54=AO91)*DB3:DB54)+SUMPRODUCT((CZ3:CZ54=AO89)*(DC3:DC54=AO91)*DB3:DB54)+SUMPRODUCT((CZ3:CZ54=AO90)*(DC3:DC54=AO91)*DB3:DB54)</f>
        <v>0</v>
      </c>
      <c r="AT91" s="194">
        <f>SUMPRODUCT((CZ3:CZ54=AO91)*(DC3:DC54=AO92)*DB3:DB54)+SUMPRODUCT((CZ3:CZ54=AO91)*(DC3:DC54=AO93)*DB3:DB54)+SUMPRODUCT((CZ3:CZ54=AO91)*(DC3:DC54=AO89)*DB3:DB54)+SUMPRODUCT((CZ3:CZ54=AO91)*(DC3:DC54=AO90)*DB3:DB54)+SUMPRODUCT((CZ3:CZ54=AO92)*(DC3:DC54=AO91)*DA3:DA54)+SUMPRODUCT((CZ3:CZ54=AO93)*(DC3:DC54=AO91)*DA3:DA54)+SUMPRODUCT((CZ3:CZ54=AO89)*(DC3:DC54=AO91)*DA3:DA54)+SUMPRODUCT((CZ3:CZ54=AO90)*(DC3:DC54=AO91)*DA3:DA54)</f>
        <v>0</v>
      </c>
      <c r="AU91" s="194">
        <f>AS91-AT91+1000</f>
        <v>1000</v>
      </c>
      <c r="AV91" s="194" t="str">
        <f t="shared" si="129"/>
        <v/>
      </c>
      <c r="AW91" s="194" t="str">
        <f>IF(AO91&lt;&gt;"",VLOOKUP(AO91,B4:H52,7,FALSE),"")</f>
        <v/>
      </c>
      <c r="AX91" s="194" t="str">
        <f>IF(AO91&lt;&gt;"",VLOOKUP(AO91,B4:H52,5,FALSE),"")</f>
        <v/>
      </c>
      <c r="AY91" s="194" t="str">
        <f>IF(AO91&lt;&gt;"",VLOOKUP(AO91,B4:J52,9,FALSE),"")</f>
        <v/>
      </c>
      <c r="AZ91" s="194" t="str">
        <f t="shared" si="130"/>
        <v/>
      </c>
      <c r="BA91" s="194" t="str">
        <f>IF(AO91&lt;&gt;"",RANK(AZ91,AZ89:AZ92),"")</f>
        <v/>
      </c>
      <c r="BB91" s="194" t="str">
        <f>IF(AO91&lt;&gt;"",SUMPRODUCT((AZ89:AZ92=AZ91)*(AU89:AU92&gt;AU91)),"")</f>
        <v/>
      </c>
      <c r="BC91" s="194" t="str">
        <f>IF(AO91&lt;&gt;"",SUMPRODUCT((AZ89:AZ92=AZ91)*(AU89:AU92=AU91)*(AS89:AS92&gt;AS91)),"")</f>
        <v/>
      </c>
      <c r="BD91" s="194" t="str">
        <f>IF(AO91&lt;&gt;"",SUMPRODUCT((AZ89:AZ92=AZ91)*(AU89:AU92=AU91)*(AS89:AS92=AS91)*(AW89:AW92&gt;AW91)),"")</f>
        <v/>
      </c>
      <c r="BE91" s="194" t="str">
        <f>IF(AO91&lt;&gt;"",SUMPRODUCT((AZ89:AZ92=AZ91)*(AU89:AU92=AU91)*(AS89:AS92=AS91)*(AW89:AW92=AW91)*(AX89:AX92&gt;AX91)),"")</f>
        <v/>
      </c>
      <c r="BF91" s="194" t="str">
        <f>IF(AO91&lt;&gt;"",SUMPRODUCT((AZ89:AZ92=AZ91)*(AU89:AU92=AU91)*(AS89:AS92=AS91)*(AW89:AW92=AW91)*(AX89:AX92=AX91)*(AY89:AY92&gt;AY91)),"")</f>
        <v/>
      </c>
      <c r="BG91" s="194" t="str">
        <f t="shared" ref="BG91:BG92" si="131">IF(AO91&lt;&gt;"",SUM(BA91:BF91)+1,"")</f>
        <v/>
      </c>
      <c r="DW91" s="20"/>
      <c r="DX91" s="20"/>
      <c r="DY91" s="20"/>
      <c r="DZ91" s="198"/>
      <c r="EA91" s="20"/>
      <c r="EB91" s="20"/>
    </row>
    <row r="92" spans="6:132" x14ac:dyDescent="0.25">
      <c r="F92" s="194">
        <v>1</v>
      </c>
      <c r="G92" s="194">
        <v>1</v>
      </c>
      <c r="H92" s="194">
        <v>1</v>
      </c>
      <c r="I92" s="194">
        <f>IF(COUNTIF(I37:I40,4)=4,1,SUMPRODUCT((I37:I40=I40)*(H37:H40=H40)*(F37:F40&gt;F40))+1)</f>
        <v>1</v>
      </c>
      <c r="S92" s="194">
        <v>1</v>
      </c>
      <c r="T92" s="194">
        <f>IF(U40&lt;&gt;"",SUMPRODUCT((AB37:AB40=AB40)*(AA37:AA40=AA40)*(Y37:Y40=Y40)*(Z37:Z40=Z40)),"")</f>
        <v>4</v>
      </c>
      <c r="U92" s="194" t="str">
        <f>IF(AND(T92&lt;&gt;"",T92&gt;1),U40,"")</f>
        <v>Fluminense</v>
      </c>
      <c r="V92" s="194">
        <f>SUMPRODUCT((CZ3:CZ54=U92)*(DC3:DC54=U93)*(DD3:DD54="W"))+SUMPRODUCT((CZ3:CZ54=U92)*(DC3:DC54=U89)*(DD3:DD54="W"))+SUMPRODUCT((CZ3:CZ54=U92)*(DC3:DC54=U90)*(DD3:DD54="W"))+SUMPRODUCT((CZ3:CZ54=U92)*(DC3:DC54=U91)*(DD3:DD54="W"))+SUMPRODUCT((CZ3:CZ54=U93)*(DC3:DC54=U92)*(DE3:DE54="W"))+SUMPRODUCT((CZ3:CZ54=U89)*(DC3:DC54=U92)*(DE3:DE54="W"))+SUMPRODUCT((CZ3:CZ54=U90)*(DC3:DC54=U92)*(DE3:DE54="W"))+SUMPRODUCT((CZ3:CZ54=U91)*(DC3:DC54=U92)*(DE3:DE54="W"))</f>
        <v>0</v>
      </c>
      <c r="W92" s="194">
        <f>SUMPRODUCT((CZ3:CZ54=U92)*(DC3:DC54=U93)*(DD3:DD54="D"))+SUMPRODUCT((CZ3:CZ54=U92)*(DC3:DC54=U89)*(DD3:DD54="D"))+SUMPRODUCT((CZ3:CZ54=U92)*(DC3:DC54=U90)*(DD3:DD54="D"))+SUMPRODUCT((CZ3:CZ54=U92)*(DC3:DC54=U91)*(DD3:DD54="D"))+SUMPRODUCT((CZ3:CZ54=U93)*(DC3:DC54=U92)*(DD3:DD54="D"))+SUMPRODUCT((CZ3:CZ54=U89)*(DC3:DC54=U92)*(DD3:DD54="D"))+SUMPRODUCT((CZ3:CZ54=U90)*(DC3:DC54=U92)*(DD3:DD54="D"))+SUMPRODUCT((CZ3:CZ54=U91)*(DC3:DC54=U92)*(DD3:DD54="D"))</f>
        <v>0</v>
      </c>
      <c r="X92" s="194">
        <f>SUMPRODUCT((CZ3:CZ54=U92)*(DC3:DC54=U93)*(DD3:DD54="L"))+SUMPRODUCT((CZ3:CZ54=U92)*(DC3:DC54=U89)*(DD3:DD54="L"))+SUMPRODUCT((CZ3:CZ54=U92)*(DC3:DC54=U90)*(DD3:DD54="L"))+SUMPRODUCT((CZ3:CZ54=U92)*(DC3:DC54=U91)*(DD3:DD54="L"))+SUMPRODUCT((CZ3:CZ54=U93)*(DC3:DC54=U92)*(DE3:DE54="L"))+SUMPRODUCT((CZ3:CZ54=U89)*(DC3:DC54=U92)*(DE3:DE54="L"))+SUMPRODUCT((CZ3:CZ54=U90)*(DC3:DC54=U92)*(DE3:DE54="L"))+SUMPRODUCT((CZ3:CZ54=U91)*(DC3:DC54=U92)*(DE3:DE54="L"))</f>
        <v>0</v>
      </c>
      <c r="Y92" s="194">
        <f>SUMPRODUCT((CZ3:CZ54=U92)*(DC3:DC54=U93)*DA3:DA54)+SUMPRODUCT((CZ3:CZ54=U92)*(DC3:DC54=U89)*DA3:DA54)+SUMPRODUCT((CZ3:CZ54=U92)*(DC3:DC54=U90)*DA3:DA54)+SUMPRODUCT((CZ3:CZ54=U92)*(DC3:DC54=U91)*DA3:DA54)+SUMPRODUCT((CZ3:CZ54=U93)*(DC3:DC54=U92)*DB3:DB54)+SUMPRODUCT((CZ3:CZ54=U89)*(DC3:DC54=U92)*DB3:DB54)+SUMPRODUCT((CZ3:CZ54=U90)*(DC3:DC54=U92)*DB3:DB54)+SUMPRODUCT((CZ3:CZ54=U91)*(DC3:DC54=U92)*DB3:DB54)</f>
        <v>0</v>
      </c>
      <c r="Z92" s="194">
        <f>SUMPRODUCT((CZ3:CZ54=U92)*(DC3:DC54=U93)*DB3:DB54)+SUMPRODUCT((CZ3:CZ54=U92)*(DC3:DC54=U89)*DB3:DB54)+SUMPRODUCT((CZ3:CZ54=U92)*(DC3:DC54=U90)*DB3:DB54)+SUMPRODUCT((CZ3:CZ54=U92)*(DC3:DC54=U91)*DB3:DB54)+SUMPRODUCT((CZ3:CZ54=U93)*(DC3:DC54=U92)*DA3:DA54)+SUMPRODUCT((CZ3:CZ54=U89)*(DC3:DC54=U92)*DA3:DA54)+SUMPRODUCT((CZ3:CZ54=U90)*(DC3:DC54=U92)*DA3:DA54)+SUMPRODUCT((CZ3:CZ54=U91)*(DC3:DC54=U92)*DA3:DA54)</f>
        <v>0</v>
      </c>
      <c r="AA92" s="194">
        <f>Y92-Z92+1000</f>
        <v>1000</v>
      </c>
      <c r="AB92" s="194">
        <f t="shared" si="127"/>
        <v>0</v>
      </c>
      <c r="AC92" s="194">
        <f>IF(U92&lt;&gt;"",VLOOKUP(U92,B4:H52,7,FALSE),"")</f>
        <v>1000</v>
      </c>
      <c r="AD92" s="194">
        <f>IF(U92&lt;&gt;"",VLOOKUP(U92,B4:H52,5,FALSE),"")</f>
        <v>0</v>
      </c>
      <c r="AE92" s="194">
        <f>IF(U92&lt;&gt;"",VLOOKUP(U92,B4:J52,9,FALSE),"")</f>
        <v>26</v>
      </c>
      <c r="AF92" s="194">
        <f t="shared" si="128"/>
        <v>0</v>
      </c>
      <c r="AG92" s="194">
        <f>IF(U92&lt;&gt;"",RANK(AF92,AF89:AF92),"")</f>
        <v>1</v>
      </c>
      <c r="AH92" s="194">
        <f>IF(U92&lt;&gt;"",SUMPRODUCT((AF89:AF92=AF92)*(AA89:AA92&gt;AA92)),"")</f>
        <v>0</v>
      </c>
      <c r="AI92" s="194">
        <f>IF(U92&lt;&gt;"",SUMPRODUCT((AF89:AF92=AF92)*(AA89:AA92=AA92)*(Y89:Y92&gt;Y92)),"")</f>
        <v>0</v>
      </c>
      <c r="AJ92" s="194">
        <f>IF(U92&lt;&gt;"",SUMPRODUCT((AF89:AF92=AF92)*(AA89:AA92=AA92)*(Y89:Y92=Y92)*(AC89:AC92&gt;AC92)),"")</f>
        <v>0</v>
      </c>
      <c r="AK92" s="194">
        <f>IF(U92&lt;&gt;"",SUMPRODUCT((AF89:AF92=AF92)*(AA89:AA92=AA92)*(Y89:Y92=Y92)*(AC89:AC92=AC92)*(AD89:AD92&gt;AD92)),"")</f>
        <v>0</v>
      </c>
      <c r="AL92" s="194">
        <f>IF(U92&lt;&gt;"",SUMPRODUCT((AF89:AF92=AF92)*(AA89:AA92=AA92)*(Y89:Y92=Y92)*(AC89:AC92=AC92)*(AD89:AD92=AD92)*(AE89:AE92&gt;AE92)),"")</f>
        <v>0</v>
      </c>
      <c r="AM92" s="194">
        <f>IF(U92&lt;&gt;"",SUM(AG92:AL92),"")</f>
        <v>1</v>
      </c>
      <c r="AN92" s="194" t="str">
        <f>IF(AO40&lt;&gt;"",SUMPRODUCT((AV37:AV40=AV40)*(AU37:AU40=AU40)*(AS37:AS40=AS40)*(AT37:AT40=AT40)),"")</f>
        <v/>
      </c>
      <c r="AO92" s="194" t="str">
        <f>IF(AND(AN92&lt;&gt;"",AN92&gt;1),AO40,"")</f>
        <v/>
      </c>
      <c r="AP92" s="194" t="str">
        <f>IF(AO92&lt;&gt;"",SUMPRODUCT((CZ3:CZ54=AO92)*(DC3:DC54=AO93)*(DD3:DD54="W"))+SUMPRODUCT((CZ3:CZ54=AO92)*(DC3:DC54=AO90)*(DD3:DD54="W"))+SUMPRODUCT((CZ3:CZ54=AO92)*(DC3:DC54=AO91)*(DD3:DD54="W"))+SUMPRODUCT((CZ3:CZ54=AO93)*(DC3:DC54=AO92)*(DE3:DE54="W"))+SUMPRODUCT((CZ3:CZ54=AO90)*(DC3:DC54=AO92)*(DE3:DE54="W"))+SUMPRODUCT((CZ3:CZ54=AO91)*(DC3:DC54=AO92)*(DE3:DE54="W")),"")</f>
        <v/>
      </c>
      <c r="AQ92" s="194" t="str">
        <f>IF(AO92&lt;&gt;"",SUMPRODUCT((CZ3:CZ54=AO92)*(DC3:DC54=AO93)*(DD3:DD54="D"))+SUMPRODUCT((CZ3:CZ54=AO92)*(DC3:DC54=AO90)*(DD3:DD54="D"))+SUMPRODUCT((CZ3:CZ54=AO92)*(DC3:DC54=AO91)*(DD3:DD54="D"))+SUMPRODUCT((CZ3:CZ54=AO93)*(DC3:DC54=AO92)*(DD3:DD54="D"))+SUMPRODUCT((CZ3:CZ54=AO90)*(DC3:DC54=AO92)*(DD3:DD54="D"))+SUMPRODUCT((CZ3:CZ54=AO91)*(DC3:DC54=AO92)*(DD3:DD54="D")),"")</f>
        <v/>
      </c>
      <c r="AR92" s="194" t="str">
        <f>IF(AO92&lt;&gt;"",SUMPRODUCT((CZ3:CZ54=AO92)*(DC3:DC54=AO93)*(DD3:DD54="L"))+SUMPRODUCT((CZ3:CZ54=AO92)*(DC3:DC54=AO90)*(DD3:DD54="L"))+SUMPRODUCT((CZ3:CZ54=AO92)*(DC3:DC54=AO91)*(DD3:DD54="L"))+SUMPRODUCT((CZ3:CZ54=AO93)*(DC3:DC54=AO92)*(DE3:DE54="L"))+SUMPRODUCT((CZ3:CZ54=AO90)*(DC3:DC54=AO92)*(DE3:DE54="L"))+SUMPRODUCT((CZ3:CZ54=AO91)*(DC3:DC54=AO92)*(DE3:DE54="L")),"")</f>
        <v/>
      </c>
      <c r="AS92" s="194">
        <f>SUMPRODUCT((CZ3:CZ54=AO92)*(DC3:DC54=AO93)*DA3:DA54)+SUMPRODUCT((CZ3:CZ54=AO92)*(DC3:DC54=AO89)*DA3:DA54)+SUMPRODUCT((CZ3:CZ54=AO92)*(DC3:DC54=AO90)*DA3:DA54)+SUMPRODUCT((CZ3:CZ54=AO92)*(DC3:DC54=AO91)*DA3:DA54)+SUMPRODUCT((CZ3:CZ54=AO93)*(DC3:DC54=AO92)*DB3:DB54)+SUMPRODUCT((CZ3:CZ54=AO89)*(DC3:DC54=AO92)*DB3:DB54)+SUMPRODUCT((CZ3:CZ54=AO90)*(DC3:DC54=AO92)*DB3:DB54)+SUMPRODUCT((CZ3:CZ54=AO91)*(DC3:DC54=AO92)*DB3:DB54)</f>
        <v>0</v>
      </c>
      <c r="AT92" s="194">
        <f>SUMPRODUCT((CZ3:CZ54=AO92)*(DC3:DC54=AO93)*DB3:DB54)+SUMPRODUCT((CZ3:CZ54=AO92)*(DC3:DC54=AO89)*DB3:DB54)+SUMPRODUCT((CZ3:CZ54=AO92)*(DC3:DC54=AO90)*DB3:DB54)+SUMPRODUCT((CZ3:CZ54=AO92)*(DC3:DC54=AO91)*DB3:DB54)+SUMPRODUCT((CZ3:CZ54=AO93)*(DC3:DC54=AO92)*DA3:DA54)+SUMPRODUCT((CZ3:CZ54=AO89)*(DC3:DC54=AO92)*DA3:DA54)+SUMPRODUCT((CZ3:CZ54=AO90)*(DC3:DC54=AO92)*DA3:DA54)+SUMPRODUCT((CZ3:CZ54=AO91)*(DC3:DC54=AO92)*DA3:DA54)</f>
        <v>0</v>
      </c>
      <c r="AU92" s="194">
        <f>AS92-AT92+1000</f>
        <v>1000</v>
      </c>
      <c r="AV92" s="194" t="str">
        <f t="shared" si="129"/>
        <v/>
      </c>
      <c r="AW92" s="194" t="str">
        <f>IF(AO92&lt;&gt;"",VLOOKUP(AO92,B4:H52,7,FALSE),"")</f>
        <v/>
      </c>
      <c r="AX92" s="194" t="str">
        <f>IF(AO92&lt;&gt;"",VLOOKUP(AO92,B4:H52,5,FALSE),"")</f>
        <v/>
      </c>
      <c r="AY92" s="194" t="str">
        <f>IF(AO92&lt;&gt;"",VLOOKUP(AO92,B4:J52,9,FALSE),"")</f>
        <v/>
      </c>
      <c r="AZ92" s="194" t="str">
        <f t="shared" si="130"/>
        <v/>
      </c>
      <c r="BA92" s="194" t="str">
        <f>IF(AO92&lt;&gt;"",RANK(AZ92,AZ89:AZ92),"")</f>
        <v/>
      </c>
      <c r="BB92" s="194" t="str">
        <f>IF(AO92&lt;&gt;"",SUMPRODUCT((AZ89:AZ92=AZ92)*(AU89:AU92&gt;AU92)),"")</f>
        <v/>
      </c>
      <c r="BC92" s="194" t="str">
        <f>IF(AO92&lt;&gt;"",SUMPRODUCT((AZ89:AZ92=AZ92)*(AU89:AU92=AU92)*(AS89:AS92&gt;AS92)),"")</f>
        <v/>
      </c>
      <c r="BD92" s="194" t="str">
        <f>IF(AO92&lt;&gt;"",SUMPRODUCT((AZ89:AZ92=AZ92)*(AU89:AU92=AU92)*(AS89:AS92=AS92)*(AW89:AW92&gt;AW92)),"")</f>
        <v/>
      </c>
      <c r="BE92" s="194" t="str">
        <f>IF(AO92&lt;&gt;"",SUMPRODUCT((AZ89:AZ92=AZ92)*(AU89:AU92=AU92)*(AS89:AS92=AS92)*(AW89:AW92=AW92)*(AX89:AX92&gt;AX92)),"")</f>
        <v/>
      </c>
      <c r="BF92" s="194" t="str">
        <f>IF(AO92&lt;&gt;"",SUMPRODUCT((AZ89:AZ92=AZ92)*(AU89:AU92=AU92)*(AS89:AS92=AS92)*(AW89:AW92=AW92)*(AX89:AX92=AX92)*(AY89:AY92&gt;AY92)),"")</f>
        <v/>
      </c>
      <c r="BG92" s="194" t="str">
        <f t="shared" si="131"/>
        <v/>
      </c>
      <c r="DW92" s="20"/>
      <c r="DX92" s="20"/>
      <c r="DY92" s="20"/>
      <c r="DZ92" s="198"/>
      <c r="EA92" s="20"/>
      <c r="EB92" s="20"/>
    </row>
    <row r="93" spans="6:132" x14ac:dyDescent="0.25">
      <c r="DW93" s="20"/>
      <c r="DX93" s="20"/>
      <c r="DY93" s="20"/>
      <c r="DZ93" s="198"/>
      <c r="EA93" s="20"/>
      <c r="EB93" s="20"/>
    </row>
    <row r="94" spans="6:132" x14ac:dyDescent="0.25">
      <c r="T94" s="194">
        <f>IF(U95="",SUM(AG43:AL43),IF(U96="",SUM(AG44:AL44),IF(U97="",SUM(AG45:AL45),IF(U98="",SUM(AG46:AL46),0))))</f>
        <v>0</v>
      </c>
      <c r="AN94" s="194">
        <f>IF(AO96="",SUM(BA44:BF44),IF(AO97="",SUM(BA45:BF45),IF(AO98="",SUM(BA46:BF46),0)))</f>
        <v>0</v>
      </c>
      <c r="DW94" s="20"/>
      <c r="DX94" s="20"/>
      <c r="DY94" s="20"/>
      <c r="DZ94" s="198"/>
      <c r="EA94" s="20"/>
      <c r="EB94" s="20"/>
    </row>
    <row r="95" spans="6:132" x14ac:dyDescent="0.25">
      <c r="F95" s="194">
        <v>1</v>
      </c>
      <c r="G95" s="194">
        <v>1</v>
      </c>
      <c r="H95" s="194">
        <v>1</v>
      </c>
      <c r="I95" s="194">
        <f>IF(COUNTIF(I43:I46,4)=4,1,SUMPRODUCT((I43:I46=I43)*(H43:H46=H43)*(F43:F46&gt;F43))+1)</f>
        <v>1</v>
      </c>
      <c r="S95" s="194">
        <v>4</v>
      </c>
      <c r="T95" s="194">
        <f>IF(U43&lt;&gt;"",SUMPRODUCT((AB43:AB46=AB43)*(AA43:AA46=AA43)*(Y43:Y46=Y43)*(Z43:Z46=Z43)),"")</f>
        <v>4</v>
      </c>
      <c r="U95" s="194" t="str">
        <f>IF(AND(T95&lt;&gt;"",T95&gt;1),U43,"")</f>
        <v>Al Ain</v>
      </c>
      <c r="V95" s="194">
        <f>SUMPRODUCT((CZ3:CZ54=U95)*(DC3:DC54=U96)*(DD3:DD54="W"))+SUMPRODUCT((CZ3:CZ54=U95)*(DC3:DC54=U97)*(DD3:DD54="W"))+SUMPRODUCT((CZ3:CZ54=U95)*(DC3:DC54=U98)*(DD3:DD54="W"))+SUMPRODUCT((CZ3:CZ54=U95)*(DC3:DC54=U99)*(DD3:DD54="W"))+SUMPRODUCT((CZ3:CZ54=U96)*(DC3:DC54=U95)*(DE3:DE54="W"))+SUMPRODUCT((CZ3:CZ54=U97)*(DC3:DC54=U95)*(DE3:DE54="W"))+SUMPRODUCT((CZ3:CZ54=U98)*(DC3:DC54=U95)*(DE3:DE54="W"))+SUMPRODUCT((CZ3:CZ54=U99)*(DC3:DC54=U95)*(DE3:DE54="W"))</f>
        <v>0</v>
      </c>
      <c r="W95" s="194">
        <f>SUMPRODUCT((CZ3:CZ54=U95)*(DC3:DC54=U96)*(DD3:DD54="D"))+SUMPRODUCT((CZ3:CZ54=U95)*(DC3:DC54=U97)*(DD3:DD54="D"))+SUMPRODUCT((CZ3:CZ54=U95)*(DC3:DC54=U98)*(DD3:DD54="D"))+SUMPRODUCT((CZ3:CZ54=U95)*(DC3:DC54=U99)*(DD3:DD54="D"))+SUMPRODUCT((CZ3:CZ54=U96)*(DC3:DC54=U95)*(DD3:DD54="D"))+SUMPRODUCT((CZ3:CZ54=U97)*(DC3:DC54=U95)*(DD3:DD54="D"))+SUMPRODUCT((CZ3:CZ54=U98)*(DC3:DC54=U95)*(DD3:DD54="D"))+SUMPRODUCT((CZ3:CZ54=U99)*(DC3:DC54=U95)*(DD3:DD54="D"))</f>
        <v>0</v>
      </c>
      <c r="X95" s="194">
        <f>SUMPRODUCT((CZ3:CZ54=U95)*(DC3:DC54=U96)*(DD3:DD54="L"))+SUMPRODUCT((CZ3:CZ54=U95)*(DC3:DC54=U97)*(DD3:DD54="L"))+SUMPRODUCT((CZ3:CZ54=U95)*(DC3:DC54=U98)*(DD3:DD54="L"))+SUMPRODUCT((CZ3:CZ54=U95)*(DC3:DC54=U99)*(DD3:DD54="L"))+SUMPRODUCT((CZ3:CZ54=U96)*(DC3:DC54=U95)*(DE3:DE54="L"))+SUMPRODUCT((CZ3:CZ54=U97)*(DC3:DC54=U95)*(DE3:DE54="L"))+SUMPRODUCT((CZ3:CZ54=U98)*(DC3:DC54=U95)*(DE3:DE54="L"))+SUMPRODUCT((CZ3:CZ54=U99)*(DC3:DC54=U95)*(DE3:DE54="L"))</f>
        <v>0</v>
      </c>
      <c r="Y95" s="194">
        <f>SUMPRODUCT((CZ3:CZ54=U95)*(DC3:DC54=U96)*DA3:DA54)+SUMPRODUCT((CZ3:CZ54=U95)*(DC3:DC54=U97)*DA3:DA54)+SUMPRODUCT((CZ3:CZ54=U95)*(DC3:DC54=U98)*DA3:DA54)+SUMPRODUCT((CZ3:CZ54=U95)*(DC3:DC54=U99)*DA3:DA54)+SUMPRODUCT((CZ3:CZ54=U96)*(DC3:DC54=U95)*DB3:DB54)+SUMPRODUCT((CZ3:CZ54=U97)*(DC3:DC54=U95)*DB3:DB54)+SUMPRODUCT((CZ3:CZ54=U98)*(DC3:DC54=U95)*DB3:DB54)+SUMPRODUCT((CZ3:CZ54=U99)*(DC3:DC54=U95)*DB3:DB54)</f>
        <v>0</v>
      </c>
      <c r="Z95" s="194">
        <f>SUMPRODUCT((CZ3:CZ54=U95)*(DC3:DC54=U96)*DB3:DB54)+SUMPRODUCT((CZ3:CZ54=U95)*(DC3:DC54=U97)*DB3:DB54)+SUMPRODUCT((CZ3:CZ54=U95)*(DC3:DC54=U98)*DB3:DB54)+SUMPRODUCT((CZ3:CZ54=U95)*(DC3:DC54=U99)*DB3:DB54)+SUMPRODUCT((CZ3:CZ54=U96)*(DC3:DC54=U95)*DA3:DA54)+SUMPRODUCT((CZ3:CZ54=U97)*(DC3:DC54=U95)*DA3:DA54)+SUMPRODUCT((CZ3:CZ54=U98)*(DC3:DC54=U95)*DA3:DA54)+SUMPRODUCT((CZ3:CZ54=U99)*(DC3:DC54=U95)*DA3:DA54)</f>
        <v>0</v>
      </c>
      <c r="AA95" s="194">
        <f>Y95-Z95+1000</f>
        <v>1000</v>
      </c>
      <c r="AB95" s="194">
        <f>IF(U95&lt;&gt;"",V95*3+W95*1,"")</f>
        <v>0</v>
      </c>
      <c r="AC95" s="194">
        <f>IF(U95&lt;&gt;"",VLOOKUP(U95,B4:H52,7,FALSE),"")</f>
        <v>1000</v>
      </c>
      <c r="AD95" s="194">
        <f>IF(U95&lt;&gt;"",VLOOKUP(U95,B4:H52,5,FALSE),"")</f>
        <v>0</v>
      </c>
      <c r="AE95" s="194">
        <f>IF(U95&lt;&gt;"",VLOOKUP(U95,B4:J52,9,FALSE),"")</f>
        <v>2</v>
      </c>
      <c r="AF95" s="194">
        <f>AB95</f>
        <v>0</v>
      </c>
      <c r="AG95" s="194">
        <f>IF(U95&lt;&gt;"",RANK(AF95,AF95:AF98),"")</f>
        <v>1</v>
      </c>
      <c r="AH95" s="194">
        <f>IF(U95&lt;&gt;"",SUMPRODUCT((AF95:AF98=AF95)*(AA95:AA98&gt;AA95)),"")</f>
        <v>0</v>
      </c>
      <c r="AI95" s="194">
        <f>IF(U95&lt;&gt;"",SUMPRODUCT((AF95:AF98=AF95)*(AA95:AA98=AA95)*(Y95:Y98&gt;Y95)),"")</f>
        <v>0</v>
      </c>
      <c r="AJ95" s="194">
        <f>IF(U95&lt;&gt;"",SUMPRODUCT((AF95:AF98=AF95)*(AA95:AA98=AA95)*(Y95:Y98=Y95)*(AC95:AC98&gt;AC95)),"")</f>
        <v>0</v>
      </c>
      <c r="AK95" s="194">
        <f>IF(U95&lt;&gt;"",SUMPRODUCT((AF95:AF98=AF95)*(AA95:AA98=AA95)*(Y95:Y98=Y95)*(AC95:AC98=AC95)*(AD95:AD98&gt;AD95)),"")</f>
        <v>0</v>
      </c>
      <c r="AL95" s="194">
        <f>IF(U95&lt;&gt;"",SUMPRODUCT((AF95:AF98=AF95)*(AA95:AA98=AA95)*(Y95:Y98=Y95)*(AC95:AC98=AC95)*(AD95:AD98=AD95)*(AE95:AE98&gt;AE95)),"")</f>
        <v>3</v>
      </c>
      <c r="AM95" s="194">
        <f>IF(U95&lt;&gt;"",SUM(AG95:AL95),"")</f>
        <v>4</v>
      </c>
      <c r="DW95" s="20"/>
      <c r="DX95" s="20"/>
      <c r="DY95" s="20"/>
      <c r="DZ95" s="198"/>
      <c r="EA95" s="20"/>
      <c r="EB95" s="20"/>
    </row>
    <row r="96" spans="6:132" x14ac:dyDescent="0.25">
      <c r="F96" s="194">
        <v>1</v>
      </c>
      <c r="G96" s="194">
        <v>1</v>
      </c>
      <c r="H96" s="194">
        <v>1</v>
      </c>
      <c r="I96" s="194">
        <f>IF(COUNTIF(I43:I46,4)=4,1,SUMPRODUCT((I43:I46=I44)*(H43:H46=H44)*(F43:F46&gt;F44))+1)</f>
        <v>1</v>
      </c>
      <c r="S96" s="194">
        <v>3</v>
      </c>
      <c r="T96" s="194">
        <f>IF(U44&lt;&gt;"",SUMPRODUCT((AB43:AB46=AB44)*(AA43:AA46=AA44)*(Y43:Y46=Y44)*(Z43:Z46=Z44)),"")</f>
        <v>4</v>
      </c>
      <c r="U96" s="194" t="str">
        <f>IF(AND(T96&lt;&gt;"",T96&gt;1),U44,"")</f>
        <v>Wydad AC</v>
      </c>
      <c r="V96" s="194">
        <f>SUMPRODUCT((CZ3:CZ54=U96)*(DC3:DC54=U97)*(DD3:DD54="W"))+SUMPRODUCT((CZ3:CZ54=U96)*(DC3:DC54=U98)*(DD3:DD54="W"))+SUMPRODUCT((CZ3:CZ54=U96)*(DC3:DC54=U99)*(DD3:DD54="W"))+SUMPRODUCT((CZ3:CZ54=U96)*(DC3:DC54=U95)*(DD3:DD54="W"))+SUMPRODUCT((CZ3:CZ54=U97)*(DC3:DC54=U96)*(DE3:DE54="W"))+SUMPRODUCT((CZ3:CZ54=U98)*(DC3:DC54=U96)*(DE3:DE54="W"))+SUMPRODUCT((CZ3:CZ54=U99)*(DC3:DC54=U96)*(DE3:DE54="W"))+SUMPRODUCT((CZ3:CZ54=U95)*(DC3:DC54=U96)*(DE3:DE54="W"))</f>
        <v>0</v>
      </c>
      <c r="W96" s="194">
        <f>SUMPRODUCT((CZ3:CZ54=U96)*(DC3:DC54=U97)*(DD3:DD54="D"))+SUMPRODUCT((CZ3:CZ54=U96)*(DC3:DC54=U98)*(DD3:DD54="D"))+SUMPRODUCT((CZ3:CZ54=U96)*(DC3:DC54=U99)*(DD3:DD54="D"))+SUMPRODUCT((CZ3:CZ54=U96)*(DC3:DC54=U95)*(DD3:DD54="D"))+SUMPRODUCT((CZ3:CZ54=U97)*(DC3:DC54=U96)*(DD3:DD54="D"))+SUMPRODUCT((CZ3:CZ54=U98)*(DC3:DC54=U96)*(DD3:DD54="D"))+SUMPRODUCT((CZ3:CZ54=U99)*(DC3:DC54=U96)*(DD3:DD54="D"))+SUMPRODUCT((CZ3:CZ54=U95)*(DC3:DC54=U96)*(DD3:DD54="D"))</f>
        <v>0</v>
      </c>
      <c r="X96" s="194">
        <f>SUMPRODUCT((CZ3:CZ54=U96)*(DC3:DC54=U97)*(DD3:DD54="L"))+SUMPRODUCT((CZ3:CZ54=U96)*(DC3:DC54=U98)*(DD3:DD54="L"))+SUMPRODUCT((CZ3:CZ54=U96)*(DC3:DC54=U99)*(DD3:DD54="L"))+SUMPRODUCT((CZ3:CZ54=U96)*(DC3:DC54=U95)*(DD3:DD54="L"))+SUMPRODUCT((CZ3:CZ54=U97)*(DC3:DC54=U96)*(DE3:DE54="L"))+SUMPRODUCT((CZ3:CZ54=U98)*(DC3:DC54=U96)*(DE3:DE54="L"))+SUMPRODUCT((CZ3:CZ54=U99)*(DC3:DC54=U96)*(DE3:DE54="L"))+SUMPRODUCT((CZ3:CZ54=U95)*(DC3:DC54=U96)*(DE3:DE54="L"))</f>
        <v>0</v>
      </c>
      <c r="Y96" s="194">
        <f>SUMPRODUCT((CZ3:CZ54=U96)*(DC3:DC54=U97)*DA3:DA54)+SUMPRODUCT((CZ3:CZ54=U96)*(DC3:DC54=U98)*DA3:DA54)+SUMPRODUCT((CZ3:CZ54=U96)*(DC3:DC54=U99)*DA3:DA54)+SUMPRODUCT((CZ3:CZ54=U96)*(DC3:DC54=U95)*DA3:DA54)+SUMPRODUCT((CZ3:CZ54=U97)*(DC3:DC54=U96)*DB3:DB54)+SUMPRODUCT((CZ3:CZ54=U98)*(DC3:DC54=U96)*DB3:DB54)+SUMPRODUCT((CZ3:CZ54=U99)*(DC3:DC54=U96)*DB3:DB54)+SUMPRODUCT((CZ3:CZ54=U95)*(DC3:DC54=U96)*DB3:DB54)</f>
        <v>0</v>
      </c>
      <c r="Z96" s="194">
        <f>SUMPRODUCT((CZ3:CZ54=U96)*(DC3:DC54=U97)*DB3:DB54)+SUMPRODUCT((CZ3:CZ54=U96)*(DC3:DC54=U98)*DB3:DB54)+SUMPRODUCT((CZ3:CZ54=U96)*(DC3:DC54=U99)*DB3:DB54)+SUMPRODUCT((CZ3:CZ54=U96)*(DC3:DC54=U95)*DB3:DB54)+SUMPRODUCT((CZ3:CZ54=U97)*(DC3:DC54=U96)*DA3:DA54)+SUMPRODUCT((CZ3:CZ54=U98)*(DC3:DC54=U96)*DA3:DA54)+SUMPRODUCT((CZ3:CZ54=U99)*(DC3:DC54=U96)*DA3:DA54)+SUMPRODUCT((CZ3:CZ54=U95)*(DC3:DC54=U96)*DA3:DA54)</f>
        <v>0</v>
      </c>
      <c r="AA96" s="194">
        <f>Y96-Z96+1000</f>
        <v>1000</v>
      </c>
      <c r="AB96" s="194">
        <f t="shared" ref="AB96:AB98" si="132">IF(U96&lt;&gt;"",V96*3+W96*1,"")</f>
        <v>0</v>
      </c>
      <c r="AC96" s="194">
        <f>IF(U96&lt;&gt;"",VLOOKUP(U96,B4:H52,7,FALSE),"")</f>
        <v>1000</v>
      </c>
      <c r="AD96" s="194">
        <f>IF(U96&lt;&gt;"",VLOOKUP(U96,B4:H52,5,FALSE),"")</f>
        <v>0</v>
      </c>
      <c r="AE96" s="194">
        <f>IF(U96&lt;&gt;"",VLOOKUP(U96,B4:J52,9,FALSE),"")</f>
        <v>10</v>
      </c>
      <c r="AF96" s="194">
        <f t="shared" ref="AF96:AF98" si="133">AB96</f>
        <v>0</v>
      </c>
      <c r="AG96" s="194">
        <f>IF(U96&lt;&gt;"",RANK(AF96,AF95:AF98),"")</f>
        <v>1</v>
      </c>
      <c r="AH96" s="194">
        <f>IF(U96&lt;&gt;"",SUMPRODUCT((AF95:AF98=AF96)*(AA95:AA98&gt;AA96)),"")</f>
        <v>0</v>
      </c>
      <c r="AI96" s="194">
        <f>IF(U96&lt;&gt;"",SUMPRODUCT((AF95:AF98=AF96)*(AA95:AA98=AA96)*(Y95:Y98&gt;Y96)),"")</f>
        <v>0</v>
      </c>
      <c r="AJ96" s="194">
        <f>IF(U96&lt;&gt;"",SUMPRODUCT((AF95:AF98=AF96)*(AA95:AA98=AA96)*(Y95:Y98=Y96)*(AC95:AC98&gt;AC96)),"")</f>
        <v>0</v>
      </c>
      <c r="AK96" s="194">
        <f>IF(U96&lt;&gt;"",SUMPRODUCT((AF95:AF98=AF96)*(AA95:AA98=AA96)*(Y95:Y98=Y96)*(AC95:AC98=AC96)*(AD95:AD98&gt;AD96)),"")</f>
        <v>0</v>
      </c>
      <c r="AL96" s="194">
        <f>IF(U96&lt;&gt;"",SUMPRODUCT((AF95:AF98=AF96)*(AA95:AA98=AA96)*(Y95:Y98=Y96)*(AC95:AC98=AC96)*(AD95:AD98=AD96)*(AE95:AE98&gt;AE96)),"")</f>
        <v>2</v>
      </c>
      <c r="AM96" s="194">
        <f t="shared" ref="AM96:AM98" si="134">IF(U96&lt;&gt;"",SUM(AG96:AL96),"")</f>
        <v>3</v>
      </c>
      <c r="AN96" s="194" t="str">
        <f>IF(AO44&lt;&gt;"",SUMPRODUCT((AV43:AV46=AV44)*(AU43:AU46=AU44)*(AS43:AS46=AS44)*(AT43:AT46=AT44)),"")</f>
        <v/>
      </c>
      <c r="AO96" s="194" t="str">
        <f>IF(AND(AN96&lt;&gt;"",AN96&gt;1),AO44,"")</f>
        <v/>
      </c>
      <c r="AP96" s="194">
        <f>SUMPRODUCT((CZ3:CZ54=AO96)*(DC3:DC54=AO97)*(DD3:DD54="W"))+SUMPRODUCT((CZ3:CZ54=AO96)*(DC3:DC54=AO98)*(DD3:DD54="W"))+SUMPRODUCT((CZ3:CZ54=AO96)*(DC3:DC54=AO99)*(DD3:DD54="W"))+SUMPRODUCT((CZ3:CZ54=AO97)*(DC3:DC54=AO96)*(DE3:DE54="W"))+SUMPRODUCT((CZ3:CZ54=AO98)*(DC3:DC54=AO96)*(DE3:DE54="W"))+SUMPRODUCT((CZ3:CZ54=AO99)*(DC3:DC54=AO96)*(DE3:DE54="W"))</f>
        <v>0</v>
      </c>
      <c r="AQ96" s="194">
        <f>SUMPRODUCT((CZ3:CZ54=AO96)*(DC3:DC54=AO97)*(DD3:DD54="D"))+SUMPRODUCT((CZ3:CZ54=AO96)*(DC3:DC54=AO98)*(DD3:DD54="D"))+SUMPRODUCT((CZ3:CZ54=AO96)*(DC3:DC54=AO99)*(DD3:DD54="D"))+SUMPRODUCT((CZ3:CZ54=AO97)*(DC3:DC54=AO96)*(DD3:DD54="D"))+SUMPRODUCT((CZ3:CZ54=AO98)*(DC3:DC54=AO96)*(DD3:DD54="D"))+SUMPRODUCT((CZ3:CZ54=AO99)*(DC3:DC54=AO96)*(DD3:DD54="D"))</f>
        <v>0</v>
      </c>
      <c r="AR96" s="194">
        <f>SUMPRODUCT((CZ3:CZ54=AO96)*(DC3:DC54=AO97)*(DD3:DD54="L"))+SUMPRODUCT((CZ3:CZ54=AO96)*(DC3:DC54=AO98)*(DD3:DD54="L"))+SUMPRODUCT((CZ3:CZ54=AO96)*(DC3:DC54=AO99)*(DD3:DD54="L"))+SUMPRODUCT((CZ3:CZ54=AO97)*(DC3:DC54=AO96)*(DE3:DE54="L"))+SUMPRODUCT((CZ3:CZ54=AO98)*(DC3:DC54=AO96)*(DE3:DE54="L"))+SUMPRODUCT((CZ3:CZ54=AO99)*(DC3:DC54=AO96)*(DE3:DE54="L"))</f>
        <v>0</v>
      </c>
      <c r="AS96" s="194">
        <f>SUMPRODUCT((CZ3:CZ54=AO96)*(DC3:DC54=AO97)*DA3:DA54)+SUMPRODUCT((CZ3:CZ54=AO96)*(DC3:DC54=AO98)*DA3:DA54)+SUMPRODUCT((CZ3:CZ54=AO96)*(DC3:DC54=AO99)*DA3:DA54)+SUMPRODUCT((CZ3:CZ54=AO96)*(DC3:DC54=AO95)*DA3:DA54)+SUMPRODUCT((CZ3:CZ54=AO97)*(DC3:DC54=AO96)*DB3:DB54)+SUMPRODUCT((CZ3:CZ54=AO98)*(DC3:DC54=AO96)*DB3:DB54)+SUMPRODUCT((CZ3:CZ54=AO99)*(DC3:DC54=AO96)*DB3:DB54)+SUMPRODUCT((CZ3:CZ54=AO95)*(DC3:DC54=AO96)*DB3:DB54)</f>
        <v>0</v>
      </c>
      <c r="AT96" s="194">
        <f>SUMPRODUCT((CZ3:CZ54=AO96)*(DC3:DC54=AO97)*DB3:DB54)+SUMPRODUCT((CZ3:CZ54=AO96)*(DC3:DC54=AO98)*DB3:DB54)+SUMPRODUCT((CZ3:CZ54=AO96)*(DC3:DC54=AO99)*DB3:DB54)+SUMPRODUCT((CZ3:CZ54=AO96)*(DC3:DC54=AO95)*DB3:DB54)+SUMPRODUCT((CZ3:CZ54=AO97)*(DC3:DC54=AO96)*DA3:DA54)+SUMPRODUCT((CZ3:CZ54=AO98)*(DC3:DC54=AO96)*DA3:DA54)+SUMPRODUCT((CZ3:CZ54=AO99)*(DC3:DC54=AO96)*DA3:DA54)+SUMPRODUCT((CZ3:CZ54=AO95)*(DC3:DC54=AO96)*DA3:DA54)</f>
        <v>0</v>
      </c>
      <c r="AU96" s="194">
        <f>AS96-AT96+1000</f>
        <v>1000</v>
      </c>
      <c r="AV96" s="194" t="str">
        <f t="shared" ref="AV96:AV98" si="135">IF(AO96&lt;&gt;"",AP96*3+AQ96*1,"")</f>
        <v/>
      </c>
      <c r="AW96" s="194" t="str">
        <f>IF(AO96&lt;&gt;"",VLOOKUP(AO96,B4:H52,7,FALSE),"")</f>
        <v/>
      </c>
      <c r="AX96" s="194" t="str">
        <f>IF(AO96&lt;&gt;"",VLOOKUP(AO96,B4:H52,5,FALSE),"")</f>
        <v/>
      </c>
      <c r="AY96" s="194" t="str">
        <f>IF(AO96&lt;&gt;"",VLOOKUP(AO96,B4:J52,9,FALSE),"")</f>
        <v/>
      </c>
      <c r="AZ96" s="194" t="str">
        <f t="shared" ref="AZ96:AZ98" si="136">AV96</f>
        <v/>
      </c>
      <c r="BA96" s="194" t="str">
        <f>IF(AO96&lt;&gt;"",RANK(AZ96,AZ95:AZ98),"")</f>
        <v/>
      </c>
      <c r="BB96" s="194" t="str">
        <f>IF(AO96&lt;&gt;"",SUMPRODUCT((AZ95:AZ98=AZ96)*(AU95:AU98&gt;AU96)),"")</f>
        <v/>
      </c>
      <c r="BC96" s="194" t="str">
        <f>IF(AO96&lt;&gt;"",SUMPRODUCT((AZ95:AZ98=AZ96)*(AU95:AU98=AU96)*(AS95:AS98&gt;AS96)),"")</f>
        <v/>
      </c>
      <c r="BD96" s="194" t="str">
        <f>IF(AO96&lt;&gt;"",SUMPRODUCT((AZ95:AZ98=AZ96)*(AU95:AU98=AU96)*(AS95:AS98=AS96)*(AW95:AW98&gt;AW96)),"")</f>
        <v/>
      </c>
      <c r="BE96" s="194" t="str">
        <f>IF(AO96&lt;&gt;"",SUMPRODUCT((AZ95:AZ98=AZ96)*(AU95:AU98=AU96)*(AS95:AS98=AS96)*(AW95:AW98=AW96)*(AX95:AX98&gt;AX96)),"")</f>
        <v/>
      </c>
      <c r="BF96" s="194" t="str">
        <f>IF(AO96&lt;&gt;"",SUMPRODUCT((AZ95:AZ98=AZ96)*(AU95:AU98=AU96)*(AS95:AS98=AS96)*(AW95:AW98=AW96)*(AX95:AX98=AX96)*(AY95:AY98&gt;AY96)),"")</f>
        <v/>
      </c>
      <c r="BG96" s="194" t="str">
        <f>IF(AO96&lt;&gt;"",SUM(BA96:BF96)+1,"")</f>
        <v/>
      </c>
      <c r="DW96" s="20"/>
      <c r="DX96" s="20"/>
      <c r="DY96" s="20"/>
      <c r="DZ96" s="206"/>
      <c r="EA96" s="20"/>
      <c r="EB96" s="20"/>
    </row>
    <row r="97" spans="6:132" x14ac:dyDescent="0.25">
      <c r="F97" s="194">
        <v>1</v>
      </c>
      <c r="G97" s="194">
        <v>1</v>
      </c>
      <c r="H97" s="194">
        <v>1</v>
      </c>
      <c r="I97" s="194">
        <f>IF(COUNTIF(I43:I46,4)=4,1,SUMPRODUCT((I43:I46=I45)*(H43:H46=H45)*(F43:F46&gt;F45))+1)</f>
        <v>1</v>
      </c>
      <c r="S97" s="194">
        <v>2</v>
      </c>
      <c r="T97" s="194">
        <f>IF(U45&lt;&gt;"",SUMPRODUCT((AB43:AB46=AB45)*(AA43:AA46=AA45)*(Y43:Y46=Y45)*(Z43:Z46=Z45)),"")</f>
        <v>4</v>
      </c>
      <c r="U97" s="194" t="str">
        <f>IF(AND(T97&lt;&gt;"",T97&gt;1),U45,"")</f>
        <v>Juventus</v>
      </c>
      <c r="V97" s="194">
        <f>SUMPRODUCT((CZ3:CZ54=U97)*(DC3:DC54=U98)*(DD3:DD54="W"))+SUMPRODUCT((CZ3:CZ54=U97)*(DC3:DC54=U99)*(DD3:DD54="W"))+SUMPRODUCT((CZ3:CZ54=U97)*(DC3:DC54=U95)*(DD3:DD54="W"))+SUMPRODUCT((CZ3:CZ54=U97)*(DC3:DC54=U96)*(DD3:DD54="W"))+SUMPRODUCT((CZ3:CZ54=U98)*(DC3:DC54=U97)*(DE3:DE54="W"))+SUMPRODUCT((CZ3:CZ54=U99)*(DC3:DC54=U97)*(DE3:DE54="W"))+SUMPRODUCT((CZ3:CZ54=U95)*(DC3:DC54=U97)*(DE3:DE54="W"))+SUMPRODUCT((CZ3:CZ54=U96)*(DC3:DC54=U97)*(DE3:DE54="W"))</f>
        <v>0</v>
      </c>
      <c r="W97" s="194">
        <f>SUMPRODUCT((CZ3:CZ54=U97)*(DC3:DC54=U98)*(DD3:DD54="D"))+SUMPRODUCT((CZ3:CZ54=U97)*(DC3:DC54=U99)*(DD3:DD54="D"))+SUMPRODUCT((CZ3:CZ54=U97)*(DC3:DC54=U95)*(DD3:DD54="D"))+SUMPRODUCT((CZ3:CZ54=U97)*(DC3:DC54=U96)*(DD3:DD54="D"))+SUMPRODUCT((CZ3:CZ54=U98)*(DC3:DC54=U97)*(DD3:DD54="D"))+SUMPRODUCT((CZ3:CZ54=U99)*(DC3:DC54=U97)*(DD3:DD54="D"))+SUMPRODUCT((CZ3:CZ54=U95)*(DC3:DC54=U97)*(DD3:DD54="D"))+SUMPRODUCT((CZ3:CZ54=U96)*(DC3:DC54=U97)*(DD3:DD54="D"))</f>
        <v>0</v>
      </c>
      <c r="X97" s="194">
        <f>SUMPRODUCT((CZ3:CZ54=U97)*(DC3:DC54=U98)*(DD3:DD54="L"))+SUMPRODUCT((CZ3:CZ54=U97)*(DC3:DC54=U99)*(DD3:DD54="L"))+SUMPRODUCT((CZ3:CZ54=U97)*(DC3:DC54=U95)*(DD3:DD54="L"))+SUMPRODUCT((CZ3:CZ54=U97)*(DC3:DC54=U96)*(DD3:DD54="L"))+SUMPRODUCT((CZ3:CZ54=U98)*(DC3:DC54=U97)*(DE3:DE54="L"))+SUMPRODUCT((CZ3:CZ54=U99)*(DC3:DC54=U97)*(DE3:DE54="L"))+SUMPRODUCT((CZ3:CZ54=U95)*(DC3:DC54=U97)*(DE3:DE54="L"))+SUMPRODUCT((CZ3:CZ54=U96)*(DC3:DC54=U97)*(DE3:DE54="L"))</f>
        <v>0</v>
      </c>
      <c r="Y97" s="194">
        <f>SUMPRODUCT((CZ3:CZ54=U97)*(DC3:DC54=U98)*DA3:DA54)+SUMPRODUCT((CZ3:CZ54=U97)*(DC3:DC54=U99)*DA3:DA54)+SUMPRODUCT((CZ3:CZ54=U97)*(DC3:DC54=U95)*DA3:DA54)+SUMPRODUCT((CZ3:CZ54=U97)*(DC3:DC54=U96)*DA3:DA54)+SUMPRODUCT((CZ3:CZ54=U98)*(DC3:DC54=U97)*DB3:DB54)+SUMPRODUCT((CZ3:CZ54=U99)*(DC3:DC54=U97)*DB3:DB54)+SUMPRODUCT((CZ3:CZ54=U95)*(DC3:DC54=U97)*DB3:DB54)+SUMPRODUCT((CZ3:CZ54=U96)*(DC3:DC54=U97)*DB3:DB54)</f>
        <v>0</v>
      </c>
      <c r="Z97" s="194">
        <f>SUMPRODUCT((CZ3:CZ54=U97)*(DC3:DC54=U98)*DB3:DB54)+SUMPRODUCT((CZ3:CZ54=U97)*(DC3:DC54=U99)*DB3:DB54)+SUMPRODUCT((CZ3:CZ54=U97)*(DC3:DC54=U95)*DB3:DB54)+SUMPRODUCT((CZ3:CZ54=U97)*(DC3:DC54=U96)*DB3:DB54)+SUMPRODUCT((CZ3:CZ54=U98)*(DC3:DC54=U97)*DA3:DA54)+SUMPRODUCT((CZ3:CZ54=U99)*(DC3:DC54=U97)*DA3:DA54)+SUMPRODUCT((CZ3:CZ54=U95)*(DC3:DC54=U97)*DA3:DA54)+SUMPRODUCT((CZ3:CZ54=U96)*(DC3:DC54=U97)*DA3:DA54)</f>
        <v>0</v>
      </c>
      <c r="AA97" s="194">
        <f>Y97-Z97+1000</f>
        <v>1000</v>
      </c>
      <c r="AB97" s="194">
        <f t="shared" si="132"/>
        <v>0</v>
      </c>
      <c r="AC97" s="194">
        <f>IF(U97&lt;&gt;"",VLOOKUP(U97,B4:H52,7,FALSE),"")</f>
        <v>1000</v>
      </c>
      <c r="AD97" s="194">
        <f>IF(U97&lt;&gt;"",VLOOKUP(U97,B4:H52,5,FALSE),"")</f>
        <v>0</v>
      </c>
      <c r="AE97" s="194">
        <f>IF(U97&lt;&gt;"",VLOOKUP(U97,B4:J52,9,FALSE),"")</f>
        <v>19</v>
      </c>
      <c r="AF97" s="194">
        <f t="shared" si="133"/>
        <v>0</v>
      </c>
      <c r="AG97" s="194">
        <f>IF(U97&lt;&gt;"",RANK(AF97,AF95:AF98),"")</f>
        <v>1</v>
      </c>
      <c r="AH97" s="194">
        <f>IF(U97&lt;&gt;"",SUMPRODUCT((AF95:AF98=AF97)*(AA95:AA98&gt;AA97)),"")</f>
        <v>0</v>
      </c>
      <c r="AI97" s="194">
        <f>IF(U97&lt;&gt;"",SUMPRODUCT((AF95:AF98=AF97)*(AA95:AA98=AA97)*(Y95:Y98&gt;Y97)),"")</f>
        <v>0</v>
      </c>
      <c r="AJ97" s="194">
        <f>IF(U97&lt;&gt;"",SUMPRODUCT((AF95:AF98=AF97)*(AA95:AA98=AA97)*(Y95:Y98=Y97)*(AC95:AC98&gt;AC97)),"")</f>
        <v>0</v>
      </c>
      <c r="AK97" s="194">
        <f>IF(U97&lt;&gt;"",SUMPRODUCT((AF95:AF98=AF97)*(AA95:AA98=AA97)*(Y95:Y98=Y97)*(AC95:AC98=AC97)*(AD95:AD98&gt;AD97)),"")</f>
        <v>0</v>
      </c>
      <c r="AL97" s="194">
        <f>IF(U97&lt;&gt;"",SUMPRODUCT((AF95:AF98=AF97)*(AA95:AA98=AA97)*(Y95:Y98=Y97)*(AC95:AC98=AC97)*(AD95:AD98=AD97)*(AE95:AE98&gt;AE97)),"")</f>
        <v>1</v>
      </c>
      <c r="AM97" s="194">
        <f t="shared" si="134"/>
        <v>2</v>
      </c>
      <c r="AN97" s="194" t="str">
        <f>IF(AO45&lt;&gt;"",SUMPRODUCT((AV43:AV46=AV45)*(AU43:AU46=AU45)*(AS43:AS46=AS45)*(AT43:AT46=AT45)),"")</f>
        <v/>
      </c>
      <c r="AO97" s="194" t="str">
        <f>IF(AND(AN97&lt;&gt;"",AN97&gt;1),AO45,"")</f>
        <v/>
      </c>
      <c r="AP97" s="194">
        <f>SUMPRODUCT((CZ3:CZ54=AO97)*(DC3:DC54=AO98)*(DD3:DD54="W"))+SUMPRODUCT((CZ3:CZ54=AO97)*(DC3:DC54=AO99)*(DD3:DD54="W"))+SUMPRODUCT((CZ3:CZ54=AO97)*(DC3:DC54=AO96)*(DD3:DD54="W"))+SUMPRODUCT((CZ3:CZ54=AO98)*(DC3:DC54=AO97)*(DE3:DE54="W"))+SUMPRODUCT((CZ3:CZ54=AO99)*(DC3:DC54=AO97)*(DE3:DE54="W"))+SUMPRODUCT((CZ3:CZ54=AO96)*(DC3:DC54=AO97)*(DE3:DE54="W"))</f>
        <v>0</v>
      </c>
      <c r="AQ97" s="194">
        <f>SUMPRODUCT((CZ3:CZ54=AO97)*(DC3:DC54=AO98)*(DD3:DD54="D"))+SUMPRODUCT((CZ3:CZ54=AO97)*(DC3:DC54=AO99)*(DD3:DD54="D"))+SUMPRODUCT((CZ3:CZ54=AO97)*(DC3:DC54=AO96)*(DD3:DD54="D"))+SUMPRODUCT((CZ3:CZ54=AO98)*(DC3:DC54=AO97)*(DD3:DD54="D"))+SUMPRODUCT((CZ3:CZ54=AO99)*(DC3:DC54=AO97)*(DD3:DD54="D"))+SUMPRODUCT((CZ3:CZ54=AO96)*(DC3:DC54=AO97)*(DD3:DD54="D"))</f>
        <v>0</v>
      </c>
      <c r="AR97" s="194">
        <f>SUMPRODUCT((CZ3:CZ54=AO97)*(DC3:DC54=AO98)*(DD3:DD54="L"))+SUMPRODUCT((CZ3:CZ54=AO97)*(DC3:DC54=AO99)*(DD3:DD54="L"))+SUMPRODUCT((CZ3:CZ54=AO97)*(DC3:DC54=AO96)*(DD3:DD54="L"))+SUMPRODUCT((CZ3:CZ54=AO98)*(DC3:DC54=AO97)*(DE3:DE54="L"))+SUMPRODUCT((CZ3:CZ54=AO99)*(DC3:DC54=AO97)*(DE3:DE54="L"))+SUMPRODUCT((CZ3:CZ54=AO96)*(DC3:DC54=AO97)*(DE3:DE54="L"))</f>
        <v>0</v>
      </c>
      <c r="AS97" s="194">
        <f>SUMPRODUCT((CZ3:CZ54=AO97)*(DC3:DC54=AO98)*DA3:DA54)+SUMPRODUCT((CZ3:CZ54=AO97)*(DC3:DC54=AO99)*DA3:DA54)+SUMPRODUCT((CZ3:CZ54=AO97)*(DC3:DC54=AO95)*DA3:DA54)+SUMPRODUCT((CZ3:CZ54=AO97)*(DC3:DC54=AO96)*DA3:DA54)+SUMPRODUCT((CZ3:CZ54=AO98)*(DC3:DC54=AO97)*DB3:DB54)+SUMPRODUCT((CZ3:CZ54=AO99)*(DC3:DC54=AO97)*DB3:DB54)+SUMPRODUCT((CZ3:CZ54=AO95)*(DC3:DC54=AO97)*DB3:DB54)+SUMPRODUCT((CZ3:CZ54=AO96)*(DC3:DC54=AO97)*DB3:DB54)</f>
        <v>0</v>
      </c>
      <c r="AT97" s="194">
        <f>SUMPRODUCT((CZ3:CZ54=AO97)*(DC3:DC54=AO98)*DB3:DB54)+SUMPRODUCT((CZ3:CZ54=AO97)*(DC3:DC54=AO99)*DB3:DB54)+SUMPRODUCT((CZ3:CZ54=AO97)*(DC3:DC54=AO95)*DB3:DB54)+SUMPRODUCT((CZ3:CZ54=AO97)*(DC3:DC54=AO96)*DB3:DB54)+SUMPRODUCT((CZ3:CZ54=AO98)*(DC3:DC54=AO97)*DA3:DA54)+SUMPRODUCT((CZ3:CZ54=AO99)*(DC3:DC54=AO97)*DA3:DA54)+SUMPRODUCT((CZ3:CZ54=AO95)*(DC3:DC54=AO97)*DA3:DA54)+SUMPRODUCT((CZ3:CZ54=AO96)*(DC3:DC54=AO97)*DA3:DA54)</f>
        <v>0</v>
      </c>
      <c r="AU97" s="194">
        <f>AS97-AT97+1000</f>
        <v>1000</v>
      </c>
      <c r="AV97" s="194" t="str">
        <f t="shared" si="135"/>
        <v/>
      </c>
      <c r="AW97" s="194" t="str">
        <f>IF(AO97&lt;&gt;"",VLOOKUP(AO97,B4:H52,7,FALSE),"")</f>
        <v/>
      </c>
      <c r="AX97" s="194" t="str">
        <f>IF(AO97&lt;&gt;"",VLOOKUP(AO97,B4:H52,5,FALSE),"")</f>
        <v/>
      </c>
      <c r="AY97" s="194" t="str">
        <f>IF(AO97&lt;&gt;"",VLOOKUP(AO97,B4:J52,9,FALSE),"")</f>
        <v/>
      </c>
      <c r="AZ97" s="194" t="str">
        <f t="shared" si="136"/>
        <v/>
      </c>
      <c r="BA97" s="194" t="str">
        <f>IF(AO97&lt;&gt;"",RANK(AZ97,AZ95:AZ98),"")</f>
        <v/>
      </c>
      <c r="BB97" s="194" t="str">
        <f>IF(AO97&lt;&gt;"",SUMPRODUCT((AZ95:AZ98=AZ97)*(AU95:AU98&gt;AU97)),"")</f>
        <v/>
      </c>
      <c r="BC97" s="194" t="str">
        <f>IF(AO97&lt;&gt;"",SUMPRODUCT((AZ95:AZ98=AZ97)*(AU95:AU98=AU97)*(AS95:AS98&gt;AS97)),"")</f>
        <v/>
      </c>
      <c r="BD97" s="194" t="str">
        <f>IF(AO97&lt;&gt;"",SUMPRODUCT((AZ95:AZ98=AZ97)*(AU95:AU98=AU97)*(AS95:AS98=AS97)*(AW95:AW98&gt;AW97)),"")</f>
        <v/>
      </c>
      <c r="BE97" s="194" t="str">
        <f>IF(AO97&lt;&gt;"",SUMPRODUCT((AZ95:AZ98=AZ97)*(AU95:AU98=AU97)*(AS95:AS98=AS97)*(AW95:AW98=AW97)*(AX95:AX98&gt;AX97)),"")</f>
        <v/>
      </c>
      <c r="BF97" s="194" t="str">
        <f>IF(AO97&lt;&gt;"",SUMPRODUCT((AZ95:AZ98=AZ97)*(AU95:AU98=AU97)*(AS95:AS98=AS97)*(AW95:AW98=AW97)*(AX95:AX98=AX97)*(AY95:AY98&gt;AY97)),"")</f>
        <v/>
      </c>
      <c r="BG97" s="194" t="str">
        <f t="shared" ref="BG97:BG98" si="137">IF(AO97&lt;&gt;"",SUM(BA97:BF97)+1,"")</f>
        <v/>
      </c>
      <c r="DW97" s="20"/>
      <c r="DX97" s="20"/>
      <c r="DY97" s="20"/>
      <c r="DZ97" s="198"/>
      <c r="EA97" s="20"/>
      <c r="EB97" s="20"/>
    </row>
    <row r="98" spans="6:132" x14ac:dyDescent="0.25">
      <c r="F98" s="194">
        <v>1</v>
      </c>
      <c r="G98" s="194">
        <v>1</v>
      </c>
      <c r="H98" s="194">
        <v>1</v>
      </c>
      <c r="I98" s="194">
        <f>IF(COUNTIF(I43:I46,4)=4,1,SUMPRODUCT((I43:I46=I46)*(H43:H46=H46)*(F43:F46&gt;F46))+1)</f>
        <v>1</v>
      </c>
      <c r="S98" s="194">
        <v>1</v>
      </c>
      <c r="T98" s="194">
        <f>IF(U46&lt;&gt;"",SUMPRODUCT((AB43:AB46=AB46)*(AA43:AA46=AA46)*(Y43:Y46=Y46)*(Z43:Z46=Z46)),"")</f>
        <v>4</v>
      </c>
      <c r="U98" s="194" t="str">
        <f>IF(AND(T98&lt;&gt;"",T98&gt;1),U46,"")</f>
        <v>Manchester City</v>
      </c>
      <c r="V98" s="194">
        <f>SUMPRODUCT((CZ3:CZ54=U98)*(DC3:DC54=U99)*(DD3:DD54="W"))+SUMPRODUCT((CZ3:CZ54=U98)*(DC3:DC54=U95)*(DD3:DD54="W"))+SUMPRODUCT((CZ3:CZ54=U98)*(DC3:DC54=U96)*(DD3:DD54="W"))+SUMPRODUCT((CZ3:CZ54=U98)*(DC3:DC54=U97)*(DD3:DD54="W"))+SUMPRODUCT((CZ3:CZ54=U99)*(DC3:DC54=U98)*(DE3:DE54="W"))+SUMPRODUCT((CZ3:CZ54=U95)*(DC3:DC54=U98)*(DE3:DE54="W"))+SUMPRODUCT((CZ3:CZ54=U96)*(DC3:DC54=U98)*(DE3:DE54="W"))+SUMPRODUCT((CZ3:CZ54=U97)*(DC3:DC54=U98)*(DE3:DE54="W"))</f>
        <v>0</v>
      </c>
      <c r="W98" s="194">
        <f>SUMPRODUCT((CZ3:CZ54=U98)*(DC3:DC54=U99)*(DD3:DD54="D"))+SUMPRODUCT((CZ3:CZ54=U98)*(DC3:DC54=U95)*(DD3:DD54="D"))+SUMPRODUCT((CZ3:CZ54=U98)*(DC3:DC54=U96)*(DD3:DD54="D"))+SUMPRODUCT((CZ3:CZ54=U98)*(DC3:DC54=U97)*(DD3:DD54="D"))+SUMPRODUCT((CZ3:CZ54=U99)*(DC3:DC54=U98)*(DD3:DD54="D"))+SUMPRODUCT((CZ3:CZ54=U95)*(DC3:DC54=U98)*(DD3:DD54="D"))+SUMPRODUCT((CZ3:CZ54=U96)*(DC3:DC54=U98)*(DD3:DD54="D"))+SUMPRODUCT((CZ3:CZ54=U97)*(DC3:DC54=U98)*(DD3:DD54="D"))</f>
        <v>0</v>
      </c>
      <c r="X98" s="194">
        <f>SUMPRODUCT((CZ3:CZ54=U98)*(DC3:DC54=U99)*(DD3:DD54="L"))+SUMPRODUCT((CZ3:CZ54=U98)*(DC3:DC54=U95)*(DD3:DD54="L"))+SUMPRODUCT((CZ3:CZ54=U98)*(DC3:DC54=U96)*(DD3:DD54="L"))+SUMPRODUCT((CZ3:CZ54=U98)*(DC3:DC54=U97)*(DD3:DD54="L"))+SUMPRODUCT((CZ3:CZ54=U99)*(DC3:DC54=U98)*(DE3:DE54="L"))+SUMPRODUCT((CZ3:CZ54=U95)*(DC3:DC54=U98)*(DE3:DE54="L"))+SUMPRODUCT((CZ3:CZ54=U96)*(DC3:DC54=U98)*(DE3:DE54="L"))+SUMPRODUCT((CZ3:CZ54=U97)*(DC3:DC54=U98)*(DE3:DE54="L"))</f>
        <v>0</v>
      </c>
      <c r="Y98" s="194">
        <f>SUMPRODUCT((CZ3:CZ54=U98)*(DC3:DC54=U99)*DA3:DA54)+SUMPRODUCT((CZ3:CZ54=U98)*(DC3:DC54=U95)*DA3:DA54)+SUMPRODUCT((CZ3:CZ54=U98)*(DC3:DC54=U96)*DA3:DA54)+SUMPRODUCT((CZ3:CZ54=U98)*(DC3:DC54=U97)*DA3:DA54)+SUMPRODUCT((CZ3:CZ54=U99)*(DC3:DC54=U98)*DB3:DB54)+SUMPRODUCT((CZ3:CZ54=U95)*(DC3:DC54=U98)*DB3:DB54)+SUMPRODUCT((CZ3:CZ54=U96)*(DC3:DC54=U98)*DB3:DB54)+SUMPRODUCT((CZ3:CZ54=U97)*(DC3:DC54=U98)*DB3:DB54)</f>
        <v>0</v>
      </c>
      <c r="Z98" s="194">
        <f>SUMPRODUCT((CZ3:CZ54=U98)*(DC3:DC54=U99)*DB3:DB54)+SUMPRODUCT((CZ3:CZ54=U98)*(DC3:DC54=U95)*DB3:DB54)+SUMPRODUCT((CZ3:CZ54=U98)*(DC3:DC54=U96)*DB3:DB54)+SUMPRODUCT((CZ3:CZ54=U98)*(DC3:DC54=U97)*DB3:DB54)+SUMPRODUCT((CZ3:CZ54=U99)*(DC3:DC54=U98)*DA3:DA54)+SUMPRODUCT((CZ3:CZ54=U95)*(DC3:DC54=U98)*DA3:DA54)+SUMPRODUCT((CZ3:CZ54=U96)*(DC3:DC54=U98)*DA3:DA54)+SUMPRODUCT((CZ3:CZ54=U97)*(DC3:DC54=U98)*DA3:DA54)</f>
        <v>0</v>
      </c>
      <c r="AA98" s="194">
        <f>Y98-Z98+1000</f>
        <v>1000</v>
      </c>
      <c r="AB98" s="194">
        <f t="shared" si="132"/>
        <v>0</v>
      </c>
      <c r="AC98" s="194">
        <f>IF(U98&lt;&gt;"",VLOOKUP(U98,B4:H52,7,FALSE),"")</f>
        <v>1000</v>
      </c>
      <c r="AD98" s="194">
        <f>IF(U98&lt;&gt;"",VLOOKUP(U98,B4:H52,5,FALSE),"")</f>
        <v>0</v>
      </c>
      <c r="AE98" s="194">
        <f>IF(U98&lt;&gt;"",VLOOKUP(U98,B4:J52,9,FALSE),"")</f>
        <v>31</v>
      </c>
      <c r="AF98" s="194">
        <f t="shared" si="133"/>
        <v>0</v>
      </c>
      <c r="AG98" s="194">
        <f>IF(U98&lt;&gt;"",RANK(AF98,AF95:AF98),"")</f>
        <v>1</v>
      </c>
      <c r="AH98" s="194">
        <f>IF(U98&lt;&gt;"",SUMPRODUCT((AF95:AF98=AF98)*(AA95:AA98&gt;AA98)),"")</f>
        <v>0</v>
      </c>
      <c r="AI98" s="194">
        <f>IF(U98&lt;&gt;"",SUMPRODUCT((AF95:AF98=AF98)*(AA95:AA98=AA98)*(Y95:Y98&gt;Y98)),"")</f>
        <v>0</v>
      </c>
      <c r="AJ98" s="194">
        <f>IF(U98&lt;&gt;"",SUMPRODUCT((AF95:AF98=AF98)*(AA95:AA98=AA98)*(Y95:Y98=Y98)*(AC95:AC98&gt;AC98)),"")</f>
        <v>0</v>
      </c>
      <c r="AK98" s="194">
        <f>IF(U98&lt;&gt;"",SUMPRODUCT((AF95:AF98=AF98)*(AA95:AA98=AA98)*(Y95:Y98=Y98)*(AC95:AC98=AC98)*(AD95:AD98&gt;AD98)),"")</f>
        <v>0</v>
      </c>
      <c r="AL98" s="194">
        <f>IF(U98&lt;&gt;"",SUMPRODUCT((AF95:AF98=AF98)*(AA95:AA98=AA98)*(Y95:Y98=Y98)*(AC95:AC98=AC98)*(AD95:AD98=AD98)*(AE95:AE98&gt;AE98)),"")</f>
        <v>0</v>
      </c>
      <c r="AM98" s="194">
        <f t="shared" si="134"/>
        <v>1</v>
      </c>
      <c r="AN98" s="194" t="str">
        <f>IF(AO46&lt;&gt;"",SUMPRODUCT((AV43:AV46=AV46)*(AU43:AU46=AU46)*(AS43:AS46=AS46)*(AT43:AT46=AT46)),"")</f>
        <v/>
      </c>
      <c r="AO98" s="194" t="str">
        <f>IF(AND(AN98&lt;&gt;"",AN98&gt;1),AO46,"")</f>
        <v/>
      </c>
      <c r="AP98" s="194" t="str">
        <f>IF(AO98&lt;&gt;"",SUMPRODUCT((CZ3:CZ54=AO98)*(DC3:DC54=AO99)*(DD3:DD54="W"))+SUMPRODUCT((CZ3:CZ54=AO98)*(DC3:DC54=AO96)*(DD3:DD54="W"))+SUMPRODUCT((CZ3:CZ54=AO98)*(DC3:DC54=AO97)*(DD3:DD54="W"))+SUMPRODUCT((CZ3:CZ54=AO99)*(DC3:DC54=AO98)*(DE3:DE54="W"))+SUMPRODUCT((CZ3:CZ54=AO96)*(DC3:DC54=AO98)*(DE3:DE54="W"))+SUMPRODUCT((CZ3:CZ54=AO97)*(DC3:DC54=AO98)*(DE3:DE54="W")),"")</f>
        <v/>
      </c>
      <c r="AQ98" s="194" t="str">
        <f>IF(AO98&lt;&gt;"",SUMPRODUCT((CZ3:CZ54=AO98)*(DC3:DC54=AO99)*(DD3:DD54="D"))+SUMPRODUCT((CZ3:CZ54=AO98)*(DC3:DC54=AO96)*(DD3:DD54="D"))+SUMPRODUCT((CZ3:CZ54=AO98)*(DC3:DC54=AO97)*(DD3:DD54="D"))+SUMPRODUCT((CZ3:CZ54=AO99)*(DC3:DC54=AO98)*(DD3:DD54="D"))+SUMPRODUCT((CZ3:CZ54=AO96)*(DC3:DC54=AO98)*(DD3:DD54="D"))+SUMPRODUCT((CZ3:CZ54=AO97)*(DC3:DC54=AO98)*(DD3:DD54="D")),"")</f>
        <v/>
      </c>
      <c r="AR98" s="194" t="str">
        <f>IF(AO98&lt;&gt;"",SUMPRODUCT((CZ3:CZ54=AO98)*(DC3:DC54=AO99)*(DD3:DD54="L"))+SUMPRODUCT((CZ3:CZ54=AO98)*(DC3:DC54=AO96)*(DD3:DD54="L"))+SUMPRODUCT((CZ3:CZ54=AO98)*(DC3:DC54=AO97)*(DD3:DD54="L"))+SUMPRODUCT((CZ3:CZ54=AO99)*(DC3:DC54=AO98)*(DE3:DE54="L"))+SUMPRODUCT((CZ3:CZ54=AO96)*(DC3:DC54=AO98)*(DE3:DE54="L"))+SUMPRODUCT((CZ3:CZ54=AO97)*(DC3:DC54=AO98)*(DE3:DE54="L")),"")</f>
        <v/>
      </c>
      <c r="AS98" s="194">
        <f>SUMPRODUCT((CZ3:CZ54=AO98)*(DC3:DC54=AO99)*DA3:DA54)+SUMPRODUCT((CZ3:CZ54=AO98)*(DC3:DC54=AO95)*DA3:DA54)+SUMPRODUCT((CZ3:CZ54=AO98)*(DC3:DC54=AO96)*DA3:DA54)+SUMPRODUCT((CZ3:CZ54=AO98)*(DC3:DC54=AO97)*DA3:DA54)+SUMPRODUCT((CZ3:CZ54=AO99)*(DC3:DC54=AO98)*DB3:DB54)+SUMPRODUCT((CZ3:CZ54=AO95)*(DC3:DC54=AO98)*DB3:DB54)+SUMPRODUCT((CZ3:CZ54=AO96)*(DC3:DC54=AO98)*DB3:DB54)+SUMPRODUCT((CZ3:CZ54=AO97)*(DC3:DC54=AO98)*DB3:DB54)</f>
        <v>0</v>
      </c>
      <c r="AT98" s="194">
        <f>SUMPRODUCT((CZ3:CZ54=AO98)*(DC3:DC54=AO99)*DB3:DB54)+SUMPRODUCT((CZ3:CZ54=AO98)*(DC3:DC54=AO95)*DB3:DB54)+SUMPRODUCT((CZ3:CZ54=AO98)*(DC3:DC54=AO96)*DB3:DB54)+SUMPRODUCT((CZ3:CZ54=AO98)*(DC3:DC54=AO97)*DB3:DB54)+SUMPRODUCT((CZ3:CZ54=AO99)*(DC3:DC54=AO98)*DA3:DA54)+SUMPRODUCT((CZ3:CZ54=AO95)*(DC3:DC54=AO98)*DA3:DA54)+SUMPRODUCT((CZ3:CZ54=AO96)*(DC3:DC54=AO98)*DA3:DA54)+SUMPRODUCT((CZ3:CZ54=AO97)*(DC3:DC54=AO98)*DA3:DA54)</f>
        <v>0</v>
      </c>
      <c r="AU98" s="194">
        <f>AS98-AT98+1000</f>
        <v>1000</v>
      </c>
      <c r="AV98" s="194" t="str">
        <f t="shared" si="135"/>
        <v/>
      </c>
      <c r="AW98" s="194" t="str">
        <f>IF(AO98&lt;&gt;"",VLOOKUP(AO98,B4:H52,7,FALSE),"")</f>
        <v/>
      </c>
      <c r="AX98" s="194" t="str">
        <f>IF(AO98&lt;&gt;"",VLOOKUP(AO98,B4:H52,5,FALSE),"")</f>
        <v/>
      </c>
      <c r="AY98" s="194" t="str">
        <f>IF(AO98&lt;&gt;"",VLOOKUP(AO98,B4:J52,9,FALSE),"")</f>
        <v/>
      </c>
      <c r="AZ98" s="194" t="str">
        <f t="shared" si="136"/>
        <v/>
      </c>
      <c r="BA98" s="194" t="str">
        <f>IF(AO98&lt;&gt;"",RANK(AZ98,AZ95:AZ98),"")</f>
        <v/>
      </c>
      <c r="BB98" s="194" t="str">
        <f>IF(AO98&lt;&gt;"",SUMPRODUCT((AZ95:AZ98=AZ98)*(AU95:AU98&gt;AU98)),"")</f>
        <v/>
      </c>
      <c r="BC98" s="194" t="str">
        <f>IF(AO98&lt;&gt;"",SUMPRODUCT((AZ95:AZ98=AZ98)*(AU95:AU98=AU98)*(AS95:AS98&gt;AS98)),"")</f>
        <v/>
      </c>
      <c r="BD98" s="194" t="str">
        <f>IF(AO98&lt;&gt;"",SUMPRODUCT((AZ95:AZ98=AZ98)*(AU95:AU98=AU98)*(AS95:AS98=AS98)*(AW95:AW98&gt;AW98)),"")</f>
        <v/>
      </c>
      <c r="BE98" s="194" t="str">
        <f>IF(AO98&lt;&gt;"",SUMPRODUCT((AZ95:AZ98=AZ98)*(AU95:AU98=AU98)*(AS95:AS98=AS98)*(AW95:AW98=AW98)*(AX95:AX98&gt;AX98)),"")</f>
        <v/>
      </c>
      <c r="BF98" s="194" t="str">
        <f>IF(AO98&lt;&gt;"",SUMPRODUCT((AZ95:AZ98=AZ98)*(AU95:AU98=AU98)*(AS95:AS98=AS98)*(AW95:AW98=AW98)*(AX95:AX98=AX98)*(AY95:AY98&gt;AY98)),"")</f>
        <v/>
      </c>
      <c r="BG98" s="194" t="str">
        <f t="shared" si="137"/>
        <v/>
      </c>
      <c r="DW98" s="20"/>
      <c r="DX98" s="20"/>
      <c r="DY98" s="20"/>
      <c r="DZ98" s="198"/>
      <c r="EA98" s="20"/>
      <c r="EB98" s="20"/>
    </row>
    <row r="99" spans="6:132" x14ac:dyDescent="0.25">
      <c r="DW99" s="20"/>
      <c r="DX99" s="20"/>
      <c r="DY99" s="20"/>
      <c r="DZ99" s="198"/>
      <c r="EA99" s="20"/>
      <c r="EB99" s="20"/>
    </row>
    <row r="100" spans="6:132" x14ac:dyDescent="0.25">
      <c r="T100" s="194">
        <f>IF(U101="",SUM(AG49:AL49),IF(U102="",SUM(AG50:AL50),IF(U103="",SUM(AG51:AL51),IF(U104="",SUM(AG52:AL52),0))))</f>
        <v>0</v>
      </c>
      <c r="AN100" s="194">
        <f>IF(AO102="",SUM(BA50:BF50),IF(AO103="",SUM(BA51:BF51),IF(AO104="",SUM(BA52:BF52),0)))</f>
        <v>0</v>
      </c>
      <c r="DW100" s="20"/>
      <c r="DX100" s="20"/>
      <c r="DY100" s="20"/>
      <c r="DZ100" s="198"/>
      <c r="EA100" s="20"/>
      <c r="EB100" s="20"/>
    </row>
    <row r="101" spans="6:132" x14ac:dyDescent="0.25">
      <c r="I101" s="194">
        <f>IF(COUNTIF(I49:I52,4)=4,1,SUMPRODUCT((I49:I52=I49)*(H49:H52=H49)*(F49:F52&gt;F49))+1)</f>
        <v>1</v>
      </c>
      <c r="S101" s="194">
        <v>4</v>
      </c>
      <c r="T101" s="194">
        <f>IF(U49&lt;&gt;"",SUMPRODUCT((AB49:AB52=AB49)*(AA49:AA52=AA49)*(Y49:Y52=Y49)*(Z49:Z52=Z49)),"")</f>
        <v>4</v>
      </c>
      <c r="U101" s="194" t="str">
        <f>IF(AND(T101&lt;&gt;"",T101&gt;1),U49,"")</f>
        <v>Pachuca</v>
      </c>
      <c r="V101" s="194">
        <f>SUMPRODUCT((CZ3:CZ54=U101)*(DC3:DC54=U102)*(DD3:DD54="W"))+SUMPRODUCT((CZ3:CZ54=U101)*(DC3:DC54=U103)*(DD3:DD54="W"))+SUMPRODUCT((CZ3:CZ54=U101)*(DC3:DC54=U104)*(DD3:DD54="W"))+SUMPRODUCT((CZ3:CZ54=U101)*(DC3:DC54=U105)*(DD3:DD54="W"))+SUMPRODUCT((CZ3:CZ54=U102)*(DC3:DC54=U101)*(DE3:DE54="W"))+SUMPRODUCT((CZ3:CZ54=U103)*(DC3:DC54=U101)*(DE3:DE54="W"))+SUMPRODUCT((CZ3:CZ54=U104)*(DC3:DC54=U101)*(DE3:DE54="W"))+SUMPRODUCT((CZ3:CZ54=U105)*(DC3:DC54=U101)*(DE3:DE54="W"))</f>
        <v>0</v>
      </c>
      <c r="W101" s="194">
        <f>SUMPRODUCT((CZ3:CZ54=U101)*(DC3:DC54=U102)*(DD3:DD54="D"))+SUMPRODUCT((CZ3:CZ54=U101)*(DC3:DC54=U103)*(DD3:DD54="D"))+SUMPRODUCT((CZ3:CZ54=U101)*(DC3:DC54=U104)*(DD3:DD54="D"))+SUMPRODUCT((CZ3:CZ54=U101)*(DC3:DC54=U105)*(DD3:DD54="D"))+SUMPRODUCT((CZ3:CZ54=U102)*(DC3:DC54=U101)*(DD3:DD54="D"))+SUMPRODUCT((CZ3:CZ54=U103)*(DC3:DC54=U101)*(DD3:DD54="D"))+SUMPRODUCT((CZ3:CZ54=U104)*(DC3:DC54=U101)*(DD3:DD54="D"))+SUMPRODUCT((CZ3:CZ54=U105)*(DC3:DC54=U101)*(DD3:DD54="D"))</f>
        <v>0</v>
      </c>
      <c r="X101" s="194">
        <f>SUMPRODUCT((CZ3:CZ54=U101)*(DC3:DC54=U102)*(DD3:DD54="L"))+SUMPRODUCT((CZ3:CZ54=U101)*(DC3:DC54=U103)*(DD3:DD54="L"))+SUMPRODUCT((CZ3:CZ54=U101)*(DC3:DC54=U104)*(DD3:DD54="L"))+SUMPRODUCT((CZ3:CZ54=U101)*(DC3:DC54=U105)*(DD3:DD54="L"))+SUMPRODUCT((CZ3:CZ54=U102)*(DC3:DC54=U101)*(DE3:DE54="L"))+SUMPRODUCT((CZ3:CZ54=U103)*(DC3:DC54=U101)*(DE3:DE54="L"))+SUMPRODUCT((CZ3:CZ54=U104)*(DC3:DC54=U101)*(DE3:DE54="L"))+SUMPRODUCT((CZ3:CZ54=U105)*(DC3:DC54=U101)*(DE3:DE54="L"))</f>
        <v>0</v>
      </c>
      <c r="Y101" s="194">
        <f>SUMPRODUCT((CZ3:CZ54=U101)*(DC3:DC54=U102)*DA3:DA54)+SUMPRODUCT((CZ3:CZ54=U101)*(DC3:DC54=U103)*DA3:DA54)+SUMPRODUCT((CZ3:CZ54=U101)*(DC3:DC54=U104)*DA3:DA54)+SUMPRODUCT((CZ3:CZ54=U101)*(DC3:DC54=U105)*DA3:DA54)+SUMPRODUCT((CZ3:CZ54=U102)*(DC3:DC54=U101)*DB3:DB54)+SUMPRODUCT((CZ3:CZ54=U103)*(DC3:DC54=U101)*DB3:DB54)+SUMPRODUCT((CZ3:CZ54=U104)*(DC3:DC54=U101)*DB3:DB54)+SUMPRODUCT((CZ3:CZ54=U105)*(DC3:DC54=U101)*DB3:DB54)</f>
        <v>0</v>
      </c>
      <c r="Z101" s="194">
        <f>SUMPRODUCT((CZ3:CZ54=U101)*(DC3:DC54=U102)*DB3:DB54)+SUMPRODUCT((CZ3:CZ54=U101)*(DC3:DC54=U103)*DB3:DB54)+SUMPRODUCT((CZ3:CZ54=U101)*(DC3:DC54=U104)*DB3:DB54)+SUMPRODUCT((CZ3:CZ54=U101)*(DC3:DC54=U105)*DB3:DB54)+SUMPRODUCT((CZ3:CZ54=U102)*(DC3:DC54=U101)*DA3:DA54)+SUMPRODUCT((CZ3:CZ54=U103)*(DC3:DC54=U101)*DA3:DA54)+SUMPRODUCT((CZ3:CZ54=U104)*(DC3:DC54=U101)*DA3:DA54)+SUMPRODUCT((CZ3:CZ54=U105)*(DC3:DC54=U101)*DA3:DA54)</f>
        <v>0</v>
      </c>
      <c r="AA101" s="194">
        <f>Y101-Z101+1000</f>
        <v>1000</v>
      </c>
      <c r="AB101" s="194">
        <f>IF(U101&lt;&gt;"",V101*3+W101*1,"")</f>
        <v>0</v>
      </c>
      <c r="AC101" s="194">
        <f>IF(U101&lt;&gt;"",VLOOKUP(U101,B4:H52,7,FALSE),"")</f>
        <v>1000</v>
      </c>
      <c r="AD101" s="194">
        <f>IF(U101&lt;&gt;"",VLOOKUP(U101,B4:H52,5,FALSE),"")</f>
        <v>0</v>
      </c>
      <c r="AE101" s="194">
        <f>IF(U101&lt;&gt;"",VLOOKUP(U101,B4:J52,9,FALSE),"")</f>
        <v>1</v>
      </c>
      <c r="AF101" s="194">
        <f>AB101</f>
        <v>0</v>
      </c>
      <c r="AG101" s="194">
        <f>IF(U101&lt;&gt;"",RANK(AF101,AF101:AF104),"")</f>
        <v>1</v>
      </c>
      <c r="AH101" s="194">
        <f>IF(U101&lt;&gt;"",SUMPRODUCT((AF101:AF104=AF101)*(AA101:AA104&gt;AA101)),"")</f>
        <v>0</v>
      </c>
      <c r="AI101" s="194">
        <f>IF(U101&lt;&gt;"",SUMPRODUCT((AF101:AF104=AF101)*(AA101:AA104=AA101)*(Y101:Y104&gt;Y101)),"")</f>
        <v>0</v>
      </c>
      <c r="AJ101" s="194">
        <f>IF(U101&lt;&gt;"",SUMPRODUCT((AF101:AF104=AF101)*(AA101:AA104=AA101)*(Y101:Y104=Y101)*(AC101:AC104&gt;AC101)),"")</f>
        <v>0</v>
      </c>
      <c r="AK101" s="194">
        <f>IF(U101&lt;&gt;"",SUMPRODUCT((AF101:AF104=AF101)*(AA101:AA104=AA101)*(Y101:Y104=Y101)*(AC101:AC104=AC101)*(AD101:AD104&gt;AD101)),"")</f>
        <v>0</v>
      </c>
      <c r="AL101" s="194">
        <f>IF(U101&lt;&gt;"",SUMPRODUCT((AF101:AF104=AF101)*(AA101:AA104=AA101)*(Y101:Y104=Y101)*(AC101:AC104=AC101)*(AD101:AD104=AD101)*(AE101:AE104&gt;AE101)),"")</f>
        <v>3</v>
      </c>
      <c r="AM101" s="194">
        <f>IF(U101&lt;&gt;"",SUM(AG101:AL101),"")</f>
        <v>4</v>
      </c>
      <c r="DW101" s="20"/>
      <c r="DX101" s="20"/>
      <c r="DY101" s="20"/>
      <c r="DZ101" s="198"/>
      <c r="EA101" s="20"/>
      <c r="EB101" s="20"/>
    </row>
    <row r="102" spans="6:132" x14ac:dyDescent="0.25">
      <c r="I102" s="194">
        <f>IF(COUNTIF(I49:I52,4)=4,1,SUMPRODUCT((I49:I52=I50)*(H49:H52=H50)*(F49:F52&gt;F50))+1)</f>
        <v>1</v>
      </c>
      <c r="S102" s="194">
        <v>3</v>
      </c>
      <c r="T102" s="194">
        <f>IF(U50&lt;&gt;"",SUMPRODUCT((AB49:AB52=AB50)*(AA49:AA52=AA50)*(Y49:Y52=Y50)*(Z49:Z52=Z50)),"")</f>
        <v>4</v>
      </c>
      <c r="U102" s="194" t="str">
        <f>IF(AND(T102&lt;&gt;"",T102&gt;1),U50,"")</f>
        <v>Al Hilal</v>
      </c>
      <c r="V102" s="194">
        <f>SUMPRODUCT((CZ3:CZ54=U102)*(DC3:DC54=U103)*(DD3:DD54="W"))+SUMPRODUCT((CZ3:CZ54=U102)*(DC3:DC54=U104)*(DD3:DD54="W"))+SUMPRODUCT((CZ3:CZ54=U102)*(DC3:DC54=U105)*(DD3:DD54="W"))+SUMPRODUCT((CZ3:CZ54=U102)*(DC3:DC54=U101)*(DD3:DD54="W"))+SUMPRODUCT((CZ3:CZ54=U103)*(DC3:DC54=U102)*(DE3:DE54="W"))+SUMPRODUCT((CZ3:CZ54=U104)*(DC3:DC54=U102)*(DE3:DE54="W"))+SUMPRODUCT((CZ3:CZ54=U105)*(DC3:DC54=U102)*(DE3:DE54="W"))+SUMPRODUCT((CZ3:CZ54=U101)*(DC3:DC54=U102)*(DE3:DE54="W"))</f>
        <v>0</v>
      </c>
      <c r="W102" s="194">
        <f>SUMPRODUCT((CZ3:CZ54=U102)*(DC3:DC54=U103)*(DD3:DD54="D"))+SUMPRODUCT((CZ3:CZ54=U102)*(DC3:DC54=U104)*(DD3:DD54="D"))+SUMPRODUCT((CZ3:CZ54=U102)*(DC3:DC54=U105)*(DD3:DD54="D"))+SUMPRODUCT((CZ3:CZ54=U102)*(DC3:DC54=U101)*(DD3:DD54="D"))+SUMPRODUCT((CZ3:CZ54=U103)*(DC3:DC54=U102)*(DD3:DD54="D"))+SUMPRODUCT((CZ3:CZ54=U104)*(DC3:DC54=U102)*(DD3:DD54="D"))+SUMPRODUCT((CZ3:CZ54=U105)*(DC3:DC54=U102)*(DD3:DD54="D"))+SUMPRODUCT((CZ3:CZ54=U101)*(DC3:DC54=U102)*(DD3:DD54="D"))</f>
        <v>0</v>
      </c>
      <c r="X102" s="194">
        <f>SUMPRODUCT((CZ3:CZ54=U102)*(DC3:DC54=U103)*(DD3:DD54="L"))+SUMPRODUCT((CZ3:CZ54=U102)*(DC3:DC54=U104)*(DD3:DD54="L"))+SUMPRODUCT((CZ3:CZ54=U102)*(DC3:DC54=U105)*(DD3:DD54="L"))+SUMPRODUCT((CZ3:CZ54=U102)*(DC3:DC54=U101)*(DD3:DD54="L"))+SUMPRODUCT((CZ3:CZ54=U103)*(DC3:DC54=U102)*(DE3:DE54="L"))+SUMPRODUCT((CZ3:CZ54=U104)*(DC3:DC54=U102)*(DE3:DE54="L"))+SUMPRODUCT((CZ3:CZ54=U105)*(DC3:DC54=U102)*(DE3:DE54="L"))+SUMPRODUCT((CZ3:CZ54=U101)*(DC3:DC54=U102)*(DE3:DE54="L"))</f>
        <v>0</v>
      </c>
      <c r="Y102" s="194">
        <f>SUMPRODUCT((CZ3:CZ54=U102)*(DC3:DC54=U103)*DA3:DA54)+SUMPRODUCT((CZ3:CZ54=U102)*(DC3:DC54=U104)*DA3:DA54)+SUMPRODUCT((CZ3:CZ54=U102)*(DC3:DC54=U105)*DA3:DA54)+SUMPRODUCT((CZ3:CZ54=U102)*(DC3:DC54=U101)*DA3:DA54)+SUMPRODUCT((CZ3:CZ54=U103)*(DC3:DC54=U102)*DB3:DB54)+SUMPRODUCT((CZ3:CZ54=U104)*(DC3:DC54=U102)*DB3:DB54)+SUMPRODUCT((CZ3:CZ54=U105)*(DC3:DC54=U102)*DB3:DB54)+SUMPRODUCT((CZ3:CZ54=U101)*(DC3:DC54=U102)*DB3:DB54)</f>
        <v>0</v>
      </c>
      <c r="Z102" s="194">
        <f>SUMPRODUCT((CZ3:CZ54=U102)*(DC3:DC54=U103)*DB3:DB54)+SUMPRODUCT((CZ3:CZ54=U102)*(DC3:DC54=U104)*DB3:DB54)+SUMPRODUCT((CZ3:CZ54=U102)*(DC3:DC54=U105)*DB3:DB54)+SUMPRODUCT((CZ3:CZ54=U102)*(DC3:DC54=U101)*DB3:DB54)+SUMPRODUCT((CZ3:CZ54=U103)*(DC3:DC54=U102)*DA3:DA54)+SUMPRODUCT((CZ3:CZ54=U104)*(DC3:DC54=U102)*DA3:DA54)+SUMPRODUCT((CZ3:CZ54=U105)*(DC3:DC54=U102)*DA3:DA54)+SUMPRODUCT((CZ3:CZ54=U101)*(DC3:DC54=U102)*DA3:DA54)</f>
        <v>0</v>
      </c>
      <c r="AA102" s="194">
        <f>Y102-Z102+1000</f>
        <v>1000</v>
      </c>
      <c r="AB102" s="194">
        <f t="shared" ref="AB102:AB104" si="138">IF(U102&lt;&gt;"",V102*3+W102*1,"")</f>
        <v>0</v>
      </c>
      <c r="AC102" s="194">
        <f>IF(U102&lt;&gt;"",VLOOKUP(U102,B4:H52,7,FALSE),"")</f>
        <v>1000</v>
      </c>
      <c r="AD102" s="194">
        <f>IF(U102&lt;&gt;"",VLOOKUP(U102,B4:H52,5,FALSE),"")</f>
        <v>0</v>
      </c>
      <c r="AE102" s="194">
        <f>IF(U102&lt;&gt;"",VLOOKUP(U102,B4:J52,9,FALSE),"")</f>
        <v>9</v>
      </c>
      <c r="AF102" s="194">
        <f t="shared" ref="AF102:AF104" si="139">AB102</f>
        <v>0</v>
      </c>
      <c r="AG102" s="194">
        <f>IF(U102&lt;&gt;"",RANK(AF102,AF101:AF104),"")</f>
        <v>1</v>
      </c>
      <c r="AH102" s="194">
        <f>IF(U102&lt;&gt;"",SUMPRODUCT((AF101:AF104=AF102)*(AA101:AA104&gt;AA102)),"")</f>
        <v>0</v>
      </c>
      <c r="AI102" s="194">
        <f>IF(U102&lt;&gt;"",SUMPRODUCT((AF101:AF104=AF102)*(AA101:AA104=AA102)*(Y101:Y104&gt;Y102)),"")</f>
        <v>0</v>
      </c>
      <c r="AJ102" s="194">
        <f>IF(U102&lt;&gt;"",SUMPRODUCT((AF101:AF104=AF102)*(AA101:AA104=AA102)*(Y101:Y104=Y102)*(AC101:AC104&gt;AC102)),"")</f>
        <v>0</v>
      </c>
      <c r="AK102" s="194">
        <f>IF(U102&lt;&gt;"",SUMPRODUCT((AF101:AF104=AF102)*(AA101:AA104=AA102)*(Y101:Y104=Y102)*(AC101:AC104=AC102)*(AD101:AD104&gt;AD102)),"")</f>
        <v>0</v>
      </c>
      <c r="AL102" s="194">
        <f>IF(U102&lt;&gt;"",SUMPRODUCT((AF101:AF104=AF102)*(AA101:AA104=AA102)*(Y101:Y104=Y102)*(AC101:AC104=AC102)*(AD101:AD104=AD102)*(AE101:AE104&gt;AE102)),"")</f>
        <v>2</v>
      </c>
      <c r="AM102" s="194">
        <f t="shared" ref="AM102:AM104" si="140">IF(U102&lt;&gt;"",SUM(AG102:AL102),"")</f>
        <v>3</v>
      </c>
      <c r="AN102" s="194" t="str">
        <f>IF(AO50&lt;&gt;"",SUMPRODUCT((AV49:AV52=AV50)*(AU49:AU52=AU50)*(AS49:AS52=AS50)*(AT49:AT52=AT50)),"")</f>
        <v/>
      </c>
      <c r="AO102" s="194" t="str">
        <f>IF(AND(AN102&lt;&gt;"",AN102&gt;1),AO50,"")</f>
        <v/>
      </c>
      <c r="AP102" s="194">
        <f>SUMPRODUCT((CZ3:CZ54=AO102)*(DC3:DC54=AO103)*(DD3:DD54="W"))+SUMPRODUCT((CZ3:CZ54=AO102)*(DC3:DC54=AO104)*(DD3:DD54="W"))+SUMPRODUCT((CZ3:CZ54=AO102)*(DC3:DC54=AO105)*(DD3:DD54="W"))+SUMPRODUCT((CZ3:CZ54=AO103)*(DC3:DC54=AO102)*(DE3:DE54="W"))+SUMPRODUCT((CZ3:CZ54=AO104)*(DC3:DC54=AO102)*(DE3:DE54="W"))+SUMPRODUCT((CZ3:CZ54=AO105)*(DC3:DC54=AO102)*(DE3:DE54="W"))</f>
        <v>0</v>
      </c>
      <c r="AQ102" s="194">
        <f>SUMPRODUCT((CZ3:CZ54=AO102)*(DC3:DC54=AO103)*(DD3:DD54="D"))+SUMPRODUCT((CZ3:CZ54=AO102)*(DC3:DC54=AO104)*(DD3:DD54="D"))+SUMPRODUCT((CZ3:CZ54=AO102)*(DC3:DC54=AO105)*(DD3:DD54="D"))+SUMPRODUCT((CZ3:CZ54=AO103)*(DC3:DC54=AO102)*(DD3:DD54="D"))+SUMPRODUCT((CZ3:CZ54=AO104)*(DC3:DC54=AO102)*(DD3:DD54="D"))+SUMPRODUCT((CZ3:CZ54=AO105)*(DC3:DC54=AO102)*(DD3:DD54="D"))</f>
        <v>0</v>
      </c>
      <c r="AR102" s="194">
        <f>SUMPRODUCT((CZ3:CZ54=AO102)*(DC3:DC54=AO103)*(DD3:DD54="L"))+SUMPRODUCT((CZ3:CZ54=AO102)*(DC3:DC54=AO104)*(DD3:DD54="L"))+SUMPRODUCT((CZ3:CZ54=AO102)*(DC3:DC54=AO105)*(DD3:DD54="L"))+SUMPRODUCT((CZ3:CZ54=AO103)*(DC3:DC54=AO102)*(DE3:DE54="L"))+SUMPRODUCT((CZ3:CZ54=AO104)*(DC3:DC54=AO102)*(DE3:DE54="L"))+SUMPRODUCT((CZ3:CZ54=AO105)*(DC3:DC54=AO102)*(DE3:DE54="L"))</f>
        <v>0</v>
      </c>
      <c r="AS102" s="194">
        <f>SUMPRODUCT((CZ3:CZ54=AO102)*(DC3:DC54=AO103)*DA3:DA54)+SUMPRODUCT((CZ3:CZ54=AO102)*(DC3:DC54=AO104)*DA3:DA54)+SUMPRODUCT((CZ3:CZ54=AO102)*(DC3:DC54=AO105)*DA3:DA54)+SUMPRODUCT((CZ3:CZ54=AO102)*(DC3:DC54=AO101)*DA3:DA54)+SUMPRODUCT((CZ3:CZ54=AO103)*(DC3:DC54=AO102)*DB3:DB54)+SUMPRODUCT((CZ3:CZ54=AO104)*(DC3:DC54=AO102)*DB3:DB54)+SUMPRODUCT((CZ3:CZ54=AO105)*(DC3:DC54=AO102)*DB3:DB54)+SUMPRODUCT((CZ3:CZ54=AO101)*(DC3:DC54=AO102)*DB3:DB54)</f>
        <v>0</v>
      </c>
      <c r="AT102" s="194">
        <f>SUMPRODUCT((CZ3:CZ54=AO102)*(DC3:DC54=AO103)*DB3:DB54)+SUMPRODUCT((CZ3:CZ54=AO102)*(DC3:DC54=AO104)*DB3:DB54)+SUMPRODUCT((CZ3:CZ54=AO102)*(DC3:DC54=AO105)*DB3:DB54)+SUMPRODUCT((CZ3:CZ54=AO102)*(DC3:DC54=AO101)*DB3:DB54)+SUMPRODUCT((CZ3:CZ54=AO103)*(DC3:DC54=AO102)*DA3:DA54)+SUMPRODUCT((CZ3:CZ54=AO104)*(DC3:DC54=AO102)*DA3:DA54)+SUMPRODUCT((CZ3:CZ54=AO105)*(DC3:DC54=AO102)*DA3:DA54)+SUMPRODUCT((CZ3:CZ54=AO101)*(DC3:DC54=AO102)*DA3:DA54)</f>
        <v>0</v>
      </c>
      <c r="AU102" s="194">
        <f>AS102-AT102+1000</f>
        <v>1000</v>
      </c>
      <c r="AV102" s="194" t="str">
        <f t="shared" ref="AV102:AV104" si="141">IF(AO102&lt;&gt;"",AP102*3+AQ102*1,"")</f>
        <v/>
      </c>
      <c r="AW102" s="194" t="str">
        <f>IF(AO102&lt;&gt;"",VLOOKUP(AO102,B4:H52,7,FALSE),"")</f>
        <v/>
      </c>
      <c r="AX102" s="194" t="str">
        <f>IF(AO102&lt;&gt;"",VLOOKUP(AO102,B4:H52,5,FALSE),"")</f>
        <v/>
      </c>
      <c r="AY102" s="194" t="str">
        <f>IF(AO102&lt;&gt;"",VLOOKUP(AO102,B4:J52,9,FALSE),"")</f>
        <v/>
      </c>
      <c r="AZ102" s="194" t="str">
        <f t="shared" ref="AZ102:AZ104" si="142">AV102</f>
        <v/>
      </c>
      <c r="BA102" s="194" t="str">
        <f>IF(AO102&lt;&gt;"",RANK(AZ102,AZ101:AZ104),"")</f>
        <v/>
      </c>
      <c r="BB102" s="194" t="str">
        <f>IF(AO102&lt;&gt;"",SUMPRODUCT((AZ101:AZ104=AZ102)*(AU101:AU104&gt;AU102)),"")</f>
        <v/>
      </c>
      <c r="BC102" s="194" t="str">
        <f>IF(AO102&lt;&gt;"",SUMPRODUCT((AZ101:AZ104=AZ102)*(AU101:AU104=AU102)*(AS101:AS104&gt;AS102)),"")</f>
        <v/>
      </c>
      <c r="BD102" s="194" t="str">
        <f>IF(AO102&lt;&gt;"",SUMPRODUCT((AZ101:AZ104=AZ102)*(AU101:AU104=AU102)*(AS101:AS104=AS102)*(AW101:AW104&gt;AW102)),"")</f>
        <v/>
      </c>
      <c r="BE102" s="194" t="str">
        <f>IF(AO102&lt;&gt;"",SUMPRODUCT((AZ101:AZ104=AZ102)*(AU101:AU104=AU102)*(AS101:AS104=AS102)*(AW101:AW104=AW102)*(AX101:AX104&gt;AX102)),"")</f>
        <v/>
      </c>
      <c r="BF102" s="194" t="str">
        <f>IF(AO102&lt;&gt;"",SUMPRODUCT((AZ101:AZ104=AZ102)*(AU101:AU104=AU102)*(AS101:AS104=AS102)*(AW101:AW104=AW102)*(AX101:AX104=AX102)*(AY101:AY104&gt;AY102)),"")</f>
        <v/>
      </c>
      <c r="BG102" s="194" t="str">
        <f>IF(AO102&lt;&gt;"",SUM(BA102:BF102)+1,"")</f>
        <v/>
      </c>
      <c r="DW102" s="20"/>
      <c r="DX102" s="20"/>
      <c r="DY102" s="20"/>
      <c r="DZ102" s="206"/>
      <c r="EA102" s="20"/>
      <c r="EB102" s="20"/>
    </row>
    <row r="103" spans="6:132" x14ac:dyDescent="0.25">
      <c r="I103" s="194">
        <f>IF(COUNTIF(I49:I52,4)=4,1,SUMPRODUCT((I49:I52=I51)*(H49:H52=H51)*(F49:F52&gt;F51))+1)</f>
        <v>1</v>
      </c>
      <c r="S103" s="194">
        <v>2</v>
      </c>
      <c r="T103" s="194">
        <f>IF(U51&lt;&gt;"",SUMPRODUCT((AB49:AB52=AB51)*(AA49:AA52=AA51)*(Y49:Y52=Y51)*(Z49:Z52=Z51)),"")</f>
        <v>4</v>
      </c>
      <c r="U103" s="194" t="str">
        <f>IF(AND(T103&lt;&gt;"",T103&gt;1),U51,"")</f>
        <v>Salzburg</v>
      </c>
      <c r="V103" s="194">
        <f>SUMPRODUCT((CZ3:CZ54=U103)*(DC3:DC54=U104)*(DD3:DD54="W"))+SUMPRODUCT((CZ3:CZ54=U103)*(DC3:DC54=U105)*(DD3:DD54="W"))+SUMPRODUCT((CZ3:CZ54=U103)*(DC3:DC54=U101)*(DD3:DD54="W"))+SUMPRODUCT((CZ3:CZ54=U103)*(DC3:DC54=U102)*(DD3:DD54="W"))+SUMPRODUCT((CZ3:CZ54=U104)*(DC3:DC54=U103)*(DE3:DE54="W"))+SUMPRODUCT((CZ3:CZ54=U105)*(DC3:DC54=U103)*(DE3:DE54="W"))+SUMPRODUCT((CZ3:CZ54=U101)*(DC3:DC54=U103)*(DE3:DE54="W"))+SUMPRODUCT((CZ3:CZ54=U102)*(DC3:DC54=U103)*(DE3:DE54="W"))</f>
        <v>0</v>
      </c>
      <c r="W103" s="194">
        <f>SUMPRODUCT((CZ3:CZ54=U103)*(DC3:DC54=U104)*(DD3:DD54="D"))+SUMPRODUCT((CZ3:CZ54=U103)*(DC3:DC54=U105)*(DD3:DD54="D"))+SUMPRODUCT((CZ3:CZ54=U103)*(DC3:DC54=U101)*(DD3:DD54="D"))+SUMPRODUCT((CZ3:CZ54=U103)*(DC3:DC54=U102)*(DD3:DD54="D"))+SUMPRODUCT((CZ3:CZ54=U104)*(DC3:DC54=U103)*(DD3:DD54="D"))+SUMPRODUCT((CZ3:CZ54=U105)*(DC3:DC54=U103)*(DD3:DD54="D"))+SUMPRODUCT((CZ3:CZ54=U101)*(DC3:DC54=U103)*(DD3:DD54="D"))+SUMPRODUCT((CZ3:CZ54=U102)*(DC3:DC54=U103)*(DD3:DD54="D"))</f>
        <v>0</v>
      </c>
      <c r="X103" s="194">
        <f>SUMPRODUCT((CZ3:CZ54=U103)*(DC3:DC54=U104)*(DD3:DD54="L"))+SUMPRODUCT((CZ3:CZ54=U103)*(DC3:DC54=U105)*(DD3:DD54="L"))+SUMPRODUCT((CZ3:CZ54=U103)*(DC3:DC54=U101)*(DD3:DD54="L"))+SUMPRODUCT((CZ3:CZ54=U103)*(DC3:DC54=U102)*(DD3:DD54="L"))+SUMPRODUCT((CZ3:CZ54=U104)*(DC3:DC54=U103)*(DE3:DE54="L"))+SUMPRODUCT((CZ3:CZ54=U105)*(DC3:DC54=U103)*(DE3:DE54="L"))+SUMPRODUCT((CZ3:CZ54=U101)*(DC3:DC54=U103)*(DE3:DE54="L"))+SUMPRODUCT((CZ3:CZ54=U102)*(DC3:DC54=U103)*(DE3:DE54="L"))</f>
        <v>0</v>
      </c>
      <c r="Y103" s="194">
        <f>SUMPRODUCT((CZ3:CZ54=U103)*(DC3:DC54=U104)*DA3:DA54)+SUMPRODUCT((CZ3:CZ54=U103)*(DC3:DC54=U105)*DA3:DA54)+SUMPRODUCT((CZ3:CZ54=U103)*(DC3:DC54=U101)*DA3:DA54)+SUMPRODUCT((CZ3:CZ54=U103)*(DC3:DC54=U102)*DA3:DA54)+SUMPRODUCT((CZ3:CZ54=U104)*(DC3:DC54=U103)*DB3:DB54)+SUMPRODUCT((CZ3:CZ54=U105)*(DC3:DC54=U103)*DB3:DB54)+SUMPRODUCT((CZ3:CZ54=U101)*(DC3:DC54=U103)*DB3:DB54)+SUMPRODUCT((CZ3:CZ54=U102)*(DC3:DC54=U103)*DB3:DB54)</f>
        <v>0</v>
      </c>
      <c r="Z103" s="194">
        <f>SUMPRODUCT((CZ3:CZ54=U103)*(DC3:DC54=U104)*DB3:DB54)+SUMPRODUCT((CZ3:CZ54=U103)*(DC3:DC54=U105)*DB3:DB54)+SUMPRODUCT((CZ3:CZ54=U103)*(DC3:DC54=U101)*DB3:DB54)+SUMPRODUCT((CZ3:CZ54=U103)*(DC3:DC54=U102)*DB3:DB54)+SUMPRODUCT((CZ3:CZ54=U104)*(DC3:DC54=U103)*DA3:DA54)+SUMPRODUCT((CZ3:CZ54=U105)*(DC3:DC54=U103)*DA3:DA54)+SUMPRODUCT((CZ3:CZ54=U101)*(DC3:DC54=U103)*DA3:DA54)+SUMPRODUCT((CZ3:CZ54=U102)*(DC3:DC54=U103)*DA3:DA54)</f>
        <v>0</v>
      </c>
      <c r="AA103" s="194">
        <f>Y103-Z103+1000</f>
        <v>1000</v>
      </c>
      <c r="AB103" s="194">
        <f t="shared" si="138"/>
        <v>0</v>
      </c>
      <c r="AC103" s="194">
        <f>IF(U103&lt;&gt;"",VLOOKUP(U103,B4:H52,7,FALSE),"")</f>
        <v>1000</v>
      </c>
      <c r="AD103" s="194">
        <f>IF(U103&lt;&gt;"",VLOOKUP(U103,B4:H52,5,FALSE),"")</f>
        <v>0</v>
      </c>
      <c r="AE103" s="194">
        <f>IF(U103&lt;&gt;"",VLOOKUP(U103,B4:J52,9,FALSE),"")</f>
        <v>17</v>
      </c>
      <c r="AF103" s="194">
        <f t="shared" si="139"/>
        <v>0</v>
      </c>
      <c r="AG103" s="194">
        <f>IF(U103&lt;&gt;"",RANK(AF103,AF101:AF104),"")</f>
        <v>1</v>
      </c>
      <c r="AH103" s="194">
        <f>IF(U103&lt;&gt;"",SUMPRODUCT((AF101:AF104=AF103)*(AA101:AA104&gt;AA103)),"")</f>
        <v>0</v>
      </c>
      <c r="AI103" s="194">
        <f>IF(U103&lt;&gt;"",SUMPRODUCT((AF101:AF104=AF103)*(AA101:AA104=AA103)*(Y101:Y104&gt;Y103)),"")</f>
        <v>0</v>
      </c>
      <c r="AJ103" s="194">
        <f>IF(U103&lt;&gt;"",SUMPRODUCT((AF101:AF104=AF103)*(AA101:AA104=AA103)*(Y101:Y104=Y103)*(AC101:AC104&gt;AC103)),"")</f>
        <v>0</v>
      </c>
      <c r="AK103" s="194">
        <f>IF(U103&lt;&gt;"",SUMPRODUCT((AF101:AF104=AF103)*(AA101:AA104=AA103)*(Y101:Y104=Y103)*(AC101:AC104=AC103)*(AD101:AD104&gt;AD103)),"")</f>
        <v>0</v>
      </c>
      <c r="AL103" s="194">
        <f>IF(U103&lt;&gt;"",SUMPRODUCT((AF101:AF104=AF103)*(AA101:AA104=AA103)*(Y101:Y104=Y103)*(AC101:AC104=AC103)*(AD101:AD104=AD103)*(AE101:AE104&gt;AE103)),"")</f>
        <v>1</v>
      </c>
      <c r="AM103" s="194">
        <f t="shared" si="140"/>
        <v>2</v>
      </c>
      <c r="AN103" s="194" t="str">
        <f>IF(AO51&lt;&gt;"",SUMPRODUCT((AV49:AV52=AV51)*(AU49:AU52=AU51)*(AS49:AS52=AS51)*(AT49:AT52=AT51)),"")</f>
        <v/>
      </c>
      <c r="AO103" s="194" t="str">
        <f>IF(AND(AN103&lt;&gt;"",AN103&gt;1),AO51,"")</f>
        <v/>
      </c>
      <c r="AP103" s="194">
        <f>SUMPRODUCT((CZ3:CZ54=AO103)*(DC3:DC54=AO104)*(DD3:DD54="W"))+SUMPRODUCT((CZ3:CZ54=AO103)*(DC3:DC54=AO105)*(DD3:DD54="W"))+SUMPRODUCT((CZ3:CZ54=AO103)*(DC3:DC54=AO102)*(DD3:DD54="W"))+SUMPRODUCT((CZ3:CZ54=AO104)*(DC3:DC54=AO103)*(DE3:DE54="W"))+SUMPRODUCT((CZ3:CZ54=AO105)*(DC3:DC54=AO103)*(DE3:DE54="W"))+SUMPRODUCT((CZ3:CZ54=AO102)*(DC3:DC54=AO103)*(DE3:DE54="W"))</f>
        <v>0</v>
      </c>
      <c r="AQ103" s="194">
        <f>SUMPRODUCT((CZ3:CZ54=AO103)*(DC3:DC54=AO104)*(DD3:DD54="D"))+SUMPRODUCT((CZ3:CZ54=AO103)*(DC3:DC54=AO105)*(DD3:DD54="D"))+SUMPRODUCT((CZ3:CZ54=AO103)*(DC3:DC54=AO102)*(DD3:DD54="D"))+SUMPRODUCT((CZ3:CZ54=AO104)*(DC3:DC54=AO103)*(DD3:DD54="D"))+SUMPRODUCT((CZ3:CZ54=AO105)*(DC3:DC54=AO103)*(DD3:DD54="D"))+SUMPRODUCT((CZ3:CZ54=AO102)*(DC3:DC54=AO103)*(DD3:DD54="D"))</f>
        <v>0</v>
      </c>
      <c r="AR103" s="194">
        <f>SUMPRODUCT((CZ3:CZ54=AO103)*(DC3:DC54=AO104)*(DD3:DD54="L"))+SUMPRODUCT((CZ3:CZ54=AO103)*(DC3:DC54=AO105)*(DD3:DD54="L"))+SUMPRODUCT((CZ3:CZ54=AO103)*(DC3:DC54=AO102)*(DD3:DD54="L"))+SUMPRODUCT((CZ3:CZ54=AO104)*(DC3:DC54=AO103)*(DE3:DE54="L"))+SUMPRODUCT((CZ3:CZ54=AO105)*(DC3:DC54=AO103)*(DE3:DE54="L"))+SUMPRODUCT((CZ3:CZ54=AO102)*(DC3:DC54=AO103)*(DE3:DE54="L"))</f>
        <v>0</v>
      </c>
      <c r="AS103" s="194">
        <f>SUMPRODUCT((CZ3:CZ54=AO103)*(DC3:DC54=AO104)*DA3:DA54)+SUMPRODUCT((CZ3:CZ54=AO103)*(DC3:DC54=AO105)*DA3:DA54)+SUMPRODUCT((CZ3:CZ54=AO103)*(DC3:DC54=AO101)*DA3:DA54)+SUMPRODUCT((CZ3:CZ54=AO103)*(DC3:DC54=AO102)*DA3:DA54)+SUMPRODUCT((CZ3:CZ54=AO104)*(DC3:DC54=AO103)*DB3:DB54)+SUMPRODUCT((CZ3:CZ54=AO105)*(DC3:DC54=AO103)*DB3:DB54)+SUMPRODUCT((CZ3:CZ54=AO101)*(DC3:DC54=AO103)*DB3:DB54)+SUMPRODUCT((CZ3:CZ54=AO102)*(DC3:DC54=AO103)*DB3:DB54)</f>
        <v>0</v>
      </c>
      <c r="AT103" s="194">
        <f>SUMPRODUCT((CZ3:CZ54=AO103)*(DC3:DC54=AO104)*DB3:DB54)+SUMPRODUCT((CZ3:CZ54=AO103)*(DC3:DC54=AO105)*DB3:DB54)+SUMPRODUCT((CZ3:CZ54=AO103)*(DC3:DC54=AO101)*DB3:DB54)+SUMPRODUCT((CZ3:CZ54=AO103)*(DC3:DC54=AO102)*DB3:DB54)+SUMPRODUCT((CZ3:CZ54=AO104)*(DC3:DC54=AO103)*DA3:DA54)+SUMPRODUCT((CZ3:CZ54=AO105)*(DC3:DC54=AO103)*DA3:DA54)+SUMPRODUCT((CZ3:CZ54=AO101)*(DC3:DC54=AO103)*DA3:DA54)+SUMPRODUCT((CZ3:CZ54=AO102)*(DC3:DC54=AO103)*DA3:DA54)</f>
        <v>0</v>
      </c>
      <c r="AU103" s="194">
        <f>AS103-AT103+1000</f>
        <v>1000</v>
      </c>
      <c r="AV103" s="194" t="str">
        <f t="shared" si="141"/>
        <v/>
      </c>
      <c r="AW103" s="194" t="str">
        <f>IF(AO103&lt;&gt;"",VLOOKUP(AO103,B4:H52,7,FALSE),"")</f>
        <v/>
      </c>
      <c r="AX103" s="194" t="str">
        <f>IF(AO103&lt;&gt;"",VLOOKUP(AO103,B4:H52,5,FALSE),"")</f>
        <v/>
      </c>
      <c r="AY103" s="194" t="str">
        <f>IF(AO103&lt;&gt;"",VLOOKUP(AO103,B4:J52,9,FALSE),"")</f>
        <v/>
      </c>
      <c r="AZ103" s="194" t="str">
        <f t="shared" si="142"/>
        <v/>
      </c>
      <c r="BA103" s="194" t="str">
        <f>IF(AO103&lt;&gt;"",RANK(AZ103,AZ101:AZ104),"")</f>
        <v/>
      </c>
      <c r="BB103" s="194" t="str">
        <f>IF(AO103&lt;&gt;"",SUMPRODUCT((AZ101:AZ104=AZ103)*(AU101:AU104&gt;AU103)),"")</f>
        <v/>
      </c>
      <c r="BC103" s="194" t="str">
        <f>IF(AO103&lt;&gt;"",SUMPRODUCT((AZ101:AZ104=AZ103)*(AU101:AU104=AU103)*(AS101:AS104&gt;AS103)),"")</f>
        <v/>
      </c>
      <c r="BD103" s="194" t="str">
        <f>IF(AO103&lt;&gt;"",SUMPRODUCT((AZ101:AZ104=AZ103)*(AU101:AU104=AU103)*(AS101:AS104=AS103)*(AW101:AW104&gt;AW103)),"")</f>
        <v/>
      </c>
      <c r="BE103" s="194" t="str">
        <f>IF(AO103&lt;&gt;"",SUMPRODUCT((AZ101:AZ104=AZ103)*(AU101:AU104=AU103)*(AS101:AS104=AS103)*(AW101:AW104=AW103)*(AX101:AX104&gt;AX103)),"")</f>
        <v/>
      </c>
      <c r="BF103" s="194" t="str">
        <f>IF(AO103&lt;&gt;"",SUMPRODUCT((AZ101:AZ104=AZ103)*(AU101:AU104=AU103)*(AS101:AS104=AS103)*(AW101:AW104=AW103)*(AX101:AX104=AX103)*(AY101:AY104&gt;AY103)),"")</f>
        <v/>
      </c>
      <c r="BG103" s="194" t="str">
        <f t="shared" ref="BG103:BG104" si="143">IF(AO103&lt;&gt;"",SUM(BA103:BF103)+1,"")</f>
        <v/>
      </c>
      <c r="DW103" s="20"/>
      <c r="DX103" s="20"/>
      <c r="DY103" s="20"/>
      <c r="DZ103" s="206"/>
      <c r="EA103" s="20"/>
      <c r="EB103" s="20"/>
    </row>
    <row r="104" spans="6:132" x14ac:dyDescent="0.25">
      <c r="I104" s="194">
        <f>IF(COUNTIF(I49:I52,4)=4,1,SUMPRODUCT((I49:I52=I52)*(H49:H52=H52)*(F49:F52&gt;F52))+1)</f>
        <v>1</v>
      </c>
      <c r="S104" s="194">
        <v>1</v>
      </c>
      <c r="T104" s="194">
        <f>IF(U52&lt;&gt;"",SUMPRODUCT((AB49:AB52=AB52)*(AA49:AA52=AA52)*(Y49:Y52=Y52)*(Z49:Z52=Z52)),"")</f>
        <v>4</v>
      </c>
      <c r="U104" s="194" t="str">
        <f>IF(AND(T104&lt;&gt;"",T104&gt;1),U52,"")</f>
        <v>Real Madrid</v>
      </c>
      <c r="V104" s="194">
        <f>SUMPRODUCT((CZ3:CZ54=U104)*(DC3:DC54=U105)*(DD3:DD54="W"))+SUMPRODUCT((CZ3:CZ54=U104)*(DC3:DC54=U101)*(DD3:DD54="W"))+SUMPRODUCT((CZ3:CZ54=U104)*(DC3:DC54=U102)*(DD3:DD54="W"))+SUMPRODUCT((CZ3:CZ54=U104)*(DC3:DC54=U103)*(DD3:DD54="W"))+SUMPRODUCT((CZ3:CZ54=U105)*(DC3:DC54=U104)*(DE3:DE54="W"))+SUMPRODUCT((CZ3:CZ54=U101)*(DC3:DC54=U104)*(DE3:DE54="W"))+SUMPRODUCT((CZ3:CZ54=U102)*(DC3:DC54=U104)*(DE3:DE54="W"))+SUMPRODUCT((CZ3:CZ54=U103)*(DC3:DC54=U104)*(DE3:DE54="W"))</f>
        <v>0</v>
      </c>
      <c r="W104" s="194">
        <f>SUMPRODUCT((CZ3:CZ54=U104)*(DC3:DC54=U105)*(DD3:DD54="D"))+SUMPRODUCT((CZ3:CZ54=U104)*(DC3:DC54=U101)*(DD3:DD54="D"))+SUMPRODUCT((CZ3:CZ54=U104)*(DC3:DC54=U102)*(DD3:DD54="D"))+SUMPRODUCT((CZ3:CZ54=U104)*(DC3:DC54=U103)*(DD3:DD54="D"))+SUMPRODUCT((CZ3:CZ54=U105)*(DC3:DC54=U104)*(DD3:DD54="D"))+SUMPRODUCT((CZ3:CZ54=U101)*(DC3:DC54=U104)*(DD3:DD54="D"))+SUMPRODUCT((CZ3:CZ54=U102)*(DC3:DC54=U104)*(DD3:DD54="D"))+SUMPRODUCT((CZ3:CZ54=U103)*(DC3:DC54=U104)*(DD3:DD54="D"))</f>
        <v>0</v>
      </c>
      <c r="X104" s="194">
        <f>SUMPRODUCT((CZ3:CZ54=U104)*(DC3:DC54=U105)*(DD3:DD54="L"))+SUMPRODUCT((CZ3:CZ54=U104)*(DC3:DC54=U101)*(DD3:DD54="L"))+SUMPRODUCT((CZ3:CZ54=U104)*(DC3:DC54=U102)*(DD3:DD54="L"))+SUMPRODUCT((CZ3:CZ54=U104)*(DC3:DC54=U103)*(DD3:DD54="L"))+SUMPRODUCT((CZ3:CZ54=U105)*(DC3:DC54=U104)*(DE3:DE54="L"))+SUMPRODUCT((CZ3:CZ54=U101)*(DC3:DC54=U104)*(DE3:DE54="L"))+SUMPRODUCT((CZ3:CZ54=U102)*(DC3:DC54=U104)*(DE3:DE54="L"))+SUMPRODUCT((CZ3:CZ54=U103)*(DC3:DC54=U104)*(DE3:DE54="L"))</f>
        <v>0</v>
      </c>
      <c r="Y104" s="194">
        <f>SUMPRODUCT((CZ3:CZ54=U104)*(DC3:DC54=U105)*DA3:DA54)+SUMPRODUCT((CZ3:CZ54=U104)*(DC3:DC54=U101)*DA3:DA54)+SUMPRODUCT((CZ3:CZ54=U104)*(DC3:DC54=U102)*DA3:DA54)+SUMPRODUCT((CZ3:CZ54=U104)*(DC3:DC54=U103)*DA3:DA54)+SUMPRODUCT((CZ3:CZ54=U105)*(DC3:DC54=U104)*DB3:DB54)+SUMPRODUCT((CZ3:CZ54=U101)*(DC3:DC54=U104)*DB3:DB54)+SUMPRODUCT((CZ3:CZ54=U102)*(DC3:DC54=U104)*DB3:DB54)+SUMPRODUCT((CZ3:CZ54=U103)*(DC3:DC54=U104)*DB3:DB54)</f>
        <v>0</v>
      </c>
      <c r="Z104" s="194">
        <f>SUMPRODUCT((CZ3:CZ54=U104)*(DC3:DC54=U105)*DB3:DB54)+SUMPRODUCT((CZ3:CZ54=U104)*(DC3:DC54=U101)*DB3:DB54)+SUMPRODUCT((CZ3:CZ54=U104)*(DC3:DC54=U102)*DB3:DB54)+SUMPRODUCT((CZ3:CZ54=U104)*(DC3:DC54=U103)*DB3:DB54)+SUMPRODUCT((CZ3:CZ54=U105)*(DC3:DC54=U104)*DA3:DA54)+SUMPRODUCT((CZ3:CZ54=U101)*(DC3:DC54=U104)*DA3:DA54)+SUMPRODUCT((CZ3:CZ54=U102)*(DC3:DC54=U104)*DA3:DA54)+SUMPRODUCT((CZ3:CZ54=U103)*(DC3:DC54=U104)*DA3:DA54)</f>
        <v>0</v>
      </c>
      <c r="AA104" s="194">
        <f>Y104-Z104+1000</f>
        <v>1000</v>
      </c>
      <c r="AB104" s="194">
        <f t="shared" si="138"/>
        <v>0</v>
      </c>
      <c r="AC104" s="194">
        <f>IF(U104&lt;&gt;"",VLOOKUP(U104,B4:H52,7,FALSE),"")</f>
        <v>1000</v>
      </c>
      <c r="AD104" s="194">
        <f>IF(U104&lt;&gt;"",VLOOKUP(U104,B4:H52,5,FALSE),"")</f>
        <v>0</v>
      </c>
      <c r="AE104" s="194">
        <f>IF(U104&lt;&gt;"",VLOOKUP(U104,B4:J52,9,FALSE),"")</f>
        <v>32</v>
      </c>
      <c r="AF104" s="194">
        <f t="shared" si="139"/>
        <v>0</v>
      </c>
      <c r="AG104" s="194">
        <f>IF(U104&lt;&gt;"",RANK(AF104,AF101:AF104),"")</f>
        <v>1</v>
      </c>
      <c r="AH104" s="194">
        <f>IF(U104&lt;&gt;"",SUMPRODUCT((AF101:AF104=AF104)*(AA101:AA104&gt;AA104)),"")</f>
        <v>0</v>
      </c>
      <c r="AI104" s="194">
        <f>IF(U104&lt;&gt;"",SUMPRODUCT((AF101:AF104=AF104)*(AA101:AA104=AA104)*(Y101:Y104&gt;Y104)),"")</f>
        <v>0</v>
      </c>
      <c r="AJ104" s="194">
        <f>IF(U104&lt;&gt;"",SUMPRODUCT((AF101:AF104=AF104)*(AA101:AA104=AA104)*(Y101:Y104=Y104)*(AC101:AC104&gt;AC104)),"")</f>
        <v>0</v>
      </c>
      <c r="AK104" s="194">
        <f>IF(U104&lt;&gt;"",SUMPRODUCT((AF101:AF104=AF104)*(AA101:AA104=AA104)*(Y101:Y104=Y104)*(AC101:AC104=AC104)*(AD101:AD104&gt;AD104)),"")</f>
        <v>0</v>
      </c>
      <c r="AL104" s="194">
        <f>IF(U104&lt;&gt;"",SUMPRODUCT((AF101:AF104=AF104)*(AA101:AA104=AA104)*(Y101:Y104=Y104)*(AC101:AC104=AC104)*(AD101:AD104=AD104)*(AE101:AE104&gt;AE104)),"")</f>
        <v>0</v>
      </c>
      <c r="AM104" s="194">
        <f t="shared" si="140"/>
        <v>1</v>
      </c>
      <c r="AN104" s="194" t="str">
        <f>IF(AO52&lt;&gt;"",SUMPRODUCT((AV49:AV52=AV52)*(AU49:AU52=AU52)*(AS49:AS52=AS52)*(AT49:AT52=AT52)),"")</f>
        <v/>
      </c>
      <c r="AO104" s="194" t="str">
        <f>IF(AND(AN104&lt;&gt;"",AN104&gt;1),AO52,"")</f>
        <v/>
      </c>
      <c r="AP104" s="194" t="str">
        <f>IF(AO104&lt;&gt;"",SUMPRODUCT((CZ3:CZ54=AO104)*(DC3:DC54=AO105)*(DD3:DD54="W"))+SUMPRODUCT((CZ3:CZ54=AO104)*(DC3:DC54=AO102)*(DD3:DD54="W"))+SUMPRODUCT((CZ3:CZ54=AO104)*(DC3:DC54=AO103)*(DD3:DD54="W"))+SUMPRODUCT((CZ3:CZ54=AO105)*(DC3:DC54=AO104)*(DE3:DE54="W"))+SUMPRODUCT((CZ3:CZ54=AO102)*(DC3:DC54=AO104)*(DE3:DE54="W"))+SUMPRODUCT((CZ3:CZ54=AO103)*(DC3:DC54=AO104)*(DE3:DE54="W")),"")</f>
        <v/>
      </c>
      <c r="AQ104" s="194" t="str">
        <f>IF(AO104&lt;&gt;"",SUMPRODUCT((CZ3:CZ54=AO104)*(DC3:DC54=AO105)*(DD3:DD54="D"))+SUMPRODUCT((CZ3:CZ54=AO104)*(DC3:DC54=AO102)*(DD3:DD54="D"))+SUMPRODUCT((CZ3:CZ54=AO104)*(DC3:DC54=AO103)*(DD3:DD54="D"))+SUMPRODUCT((CZ3:CZ54=AO105)*(DC3:DC54=AO104)*(DD3:DD54="D"))+SUMPRODUCT((CZ3:CZ54=AO102)*(DC3:DC54=AO104)*(DD3:DD54="D"))+SUMPRODUCT((CZ3:CZ54=AO103)*(DC3:DC54=AO104)*(DD3:DD54="D")),"")</f>
        <v/>
      </c>
      <c r="AR104" s="194" t="str">
        <f>IF(AO104&lt;&gt;"",SUMPRODUCT((CZ3:CZ54=AO104)*(DC3:DC54=AO105)*(DD3:DD54="L"))+SUMPRODUCT((CZ3:CZ54=AO104)*(DC3:DC54=AO102)*(DD3:DD54="L"))+SUMPRODUCT((CZ3:CZ54=AO104)*(DC3:DC54=AO103)*(DD3:DD54="L"))+SUMPRODUCT((CZ3:CZ54=AO105)*(DC3:DC54=AO104)*(DE3:DE54="L"))+SUMPRODUCT((CZ3:CZ54=AO102)*(DC3:DC54=AO104)*(DE3:DE54="L"))+SUMPRODUCT((CZ3:CZ54=AO103)*(DC3:DC54=AO104)*(DE3:DE54="L")),"")</f>
        <v/>
      </c>
      <c r="AS104" s="194">
        <f>SUMPRODUCT((CZ3:CZ54=AO104)*(DC3:DC54=AO105)*DA3:DA54)+SUMPRODUCT((CZ3:CZ54=AO104)*(DC3:DC54=AO101)*DA3:DA54)+SUMPRODUCT((CZ3:CZ54=AO104)*(DC3:DC54=AO102)*DA3:DA54)+SUMPRODUCT((CZ3:CZ54=AO104)*(DC3:DC54=AO103)*DA3:DA54)+SUMPRODUCT((CZ3:CZ54=AO105)*(DC3:DC54=AO104)*DB3:DB54)+SUMPRODUCT((CZ3:CZ54=AO101)*(DC3:DC54=AO104)*DB3:DB54)+SUMPRODUCT((CZ3:CZ54=AO102)*(DC3:DC54=AO104)*DB3:DB54)+SUMPRODUCT((CZ3:CZ54=AO103)*(DC3:DC54=AO104)*DB3:DB54)</f>
        <v>0</v>
      </c>
      <c r="AT104" s="194">
        <f>SUMPRODUCT((CZ3:CZ54=AO104)*(DC3:DC54=AO105)*DB3:DB54)+SUMPRODUCT((CZ3:CZ54=AO104)*(DC3:DC54=AO101)*DB3:DB54)+SUMPRODUCT((CZ3:CZ54=AO104)*(DC3:DC54=AO102)*DB3:DB54)+SUMPRODUCT((CZ3:CZ54=AO104)*(DC3:DC54=AO103)*DB3:DB54)+SUMPRODUCT((CZ3:CZ54=AO105)*(DC3:DC54=AO104)*DA3:DA54)+SUMPRODUCT((CZ3:CZ54=AO101)*(DC3:DC54=AO104)*DA3:DA54)+SUMPRODUCT((CZ3:CZ54=AO102)*(DC3:DC54=AO104)*DA3:DA54)+SUMPRODUCT((CZ3:CZ54=AO103)*(DC3:DC54=AO104)*DA3:DA54)</f>
        <v>0</v>
      </c>
      <c r="AU104" s="194">
        <f>AS104-AT104+1000</f>
        <v>1000</v>
      </c>
      <c r="AV104" s="194" t="str">
        <f t="shared" si="141"/>
        <v/>
      </c>
      <c r="AW104" s="194" t="str">
        <f>IF(AO104&lt;&gt;"",VLOOKUP(AO104,B4:H52,7,FALSE),"")</f>
        <v/>
      </c>
      <c r="AX104" s="194" t="str">
        <f>IF(AO104&lt;&gt;"",VLOOKUP(AO104,B4:H52,5,FALSE),"")</f>
        <v/>
      </c>
      <c r="AY104" s="194" t="str">
        <f>IF(AO104&lt;&gt;"",VLOOKUP(AO104,B4:J52,9,FALSE),"")</f>
        <v/>
      </c>
      <c r="AZ104" s="194" t="str">
        <f t="shared" si="142"/>
        <v/>
      </c>
      <c r="BA104" s="194" t="str">
        <f>IF(AO104&lt;&gt;"",RANK(AZ104,AZ101:AZ104),"")</f>
        <v/>
      </c>
      <c r="BB104" s="194" t="str">
        <f>IF(AO104&lt;&gt;"",SUMPRODUCT((AZ101:AZ104=AZ104)*(AU101:AU104&gt;AU104)),"")</f>
        <v/>
      </c>
      <c r="BC104" s="194" t="str">
        <f>IF(AO104&lt;&gt;"",SUMPRODUCT((AZ101:AZ104=AZ104)*(AU101:AU104=AU104)*(AS101:AS104&gt;AS104)),"")</f>
        <v/>
      </c>
      <c r="BD104" s="194" t="str">
        <f>IF(AO104&lt;&gt;"",SUMPRODUCT((AZ101:AZ104=AZ104)*(AU101:AU104=AU104)*(AS101:AS104=AS104)*(AW101:AW104&gt;AW104)),"")</f>
        <v/>
      </c>
      <c r="BE104" s="194" t="str">
        <f>IF(AO104&lt;&gt;"",SUMPRODUCT((AZ101:AZ104=AZ104)*(AU101:AU104=AU104)*(AS101:AS104=AS104)*(AW101:AW104=AW104)*(AX101:AX104&gt;AX104)),"")</f>
        <v/>
      </c>
      <c r="BF104" s="194" t="str">
        <f>IF(AO104&lt;&gt;"",SUMPRODUCT((AZ101:AZ104=AZ104)*(AU101:AU104=AU104)*(AS101:AS104=AS104)*(AW101:AW104=AW104)*(AX101:AX104=AX104)*(AY101:AY104&gt;AY104)),"")</f>
        <v/>
      </c>
      <c r="BG104" s="194" t="str">
        <f t="shared" si="143"/>
        <v/>
      </c>
      <c r="DW104" s="20"/>
      <c r="DX104" s="20"/>
      <c r="DY104" s="20"/>
      <c r="DZ104" s="206"/>
      <c r="EA104" s="20"/>
      <c r="EB104" s="20"/>
    </row>
    <row r="105" spans="6:132" x14ac:dyDescent="0.25">
      <c r="DW105" s="20"/>
      <c r="DX105" s="20"/>
      <c r="DY105" s="20"/>
      <c r="DZ105" s="206"/>
      <c r="EA105" s="20"/>
      <c r="EB105" s="20"/>
    </row>
    <row r="106" spans="6:132" x14ac:dyDescent="0.25">
      <c r="DW106" s="20"/>
      <c r="DX106" s="20"/>
      <c r="DY106" s="20"/>
      <c r="DZ106" s="206"/>
      <c r="EA106" s="20"/>
      <c r="EB106" s="20"/>
    </row>
    <row r="107" spans="6:132" x14ac:dyDescent="0.25">
      <c r="DW107" s="20"/>
      <c r="DX107" s="20"/>
      <c r="DY107" s="20"/>
      <c r="DZ107" s="206"/>
      <c r="EA107" s="20"/>
      <c r="EB107" s="20"/>
    </row>
    <row r="108" spans="6:132" x14ac:dyDescent="0.25">
      <c r="DW108" s="20"/>
      <c r="DX108" s="20"/>
      <c r="DY108" s="20"/>
      <c r="DZ108" s="206"/>
      <c r="EA108" s="20"/>
      <c r="EB108" s="20"/>
    </row>
    <row r="109" spans="6:132" x14ac:dyDescent="0.25">
      <c r="DW109" s="20"/>
      <c r="DX109" s="20"/>
      <c r="DY109" s="20"/>
      <c r="DZ109" s="206"/>
      <c r="EA109" s="20"/>
      <c r="EB109" s="20"/>
    </row>
    <row r="110" spans="6:132" x14ac:dyDescent="0.25">
      <c r="DW110" s="20"/>
      <c r="DX110" s="20"/>
      <c r="DY110" s="20"/>
      <c r="DZ110" s="206"/>
      <c r="EA110" s="20"/>
      <c r="EB110" s="20"/>
    </row>
    <row r="111" spans="6:132" x14ac:dyDescent="0.25">
      <c r="DW111" s="20"/>
      <c r="DX111" s="20"/>
      <c r="DY111" s="20"/>
      <c r="DZ111" s="206"/>
      <c r="EA111" s="20"/>
      <c r="EB111" s="20"/>
    </row>
    <row r="112" spans="6:132" x14ac:dyDescent="0.25">
      <c r="DW112" s="20"/>
      <c r="DX112" s="20"/>
      <c r="DY112" s="20"/>
      <c r="DZ112" s="206"/>
      <c r="EA112" s="20"/>
      <c r="EB112" s="20"/>
    </row>
    <row r="113" spans="127:132" x14ac:dyDescent="0.25">
      <c r="DW113" s="20"/>
      <c r="DX113" s="20"/>
      <c r="DY113" s="20"/>
      <c r="DZ113" s="206"/>
      <c r="EA113" s="20"/>
      <c r="EB113" s="20"/>
    </row>
    <row r="114" spans="127:132" x14ac:dyDescent="0.25">
      <c r="DW114" s="20"/>
      <c r="DX114" s="20"/>
      <c r="DY114" s="20"/>
      <c r="DZ114" s="206"/>
      <c r="EA114" s="20"/>
      <c r="EB114" s="20"/>
    </row>
    <row r="115" spans="127:132" x14ac:dyDescent="0.25">
      <c r="DW115" s="20"/>
      <c r="DX115" s="20"/>
      <c r="DY115" s="20"/>
      <c r="DZ115" s="206"/>
      <c r="EA115" s="20"/>
      <c r="EB115" s="20"/>
    </row>
    <row r="116" spans="127:132" x14ac:dyDescent="0.25">
      <c r="DW116" s="20"/>
      <c r="DX116" s="20"/>
      <c r="DY116" s="20"/>
      <c r="DZ116" s="206"/>
      <c r="EA116" s="20"/>
      <c r="EB116" s="20"/>
    </row>
    <row r="117" spans="127:132" x14ac:dyDescent="0.25">
      <c r="DW117" s="20"/>
      <c r="DX117" s="20"/>
      <c r="DY117" s="20"/>
      <c r="DZ117" s="206"/>
      <c r="EA117" s="20"/>
      <c r="EB117" s="20"/>
    </row>
    <row r="118" spans="127:132" x14ac:dyDescent="0.25">
      <c r="DW118" s="20"/>
      <c r="DX118" s="20"/>
      <c r="DY118" s="20"/>
      <c r="DZ118" s="206"/>
      <c r="EA118" s="20"/>
      <c r="EB118" s="20"/>
    </row>
    <row r="119" spans="127:132" x14ac:dyDescent="0.25">
      <c r="DW119" s="20"/>
      <c r="DX119" s="20"/>
      <c r="DY119" s="20"/>
      <c r="DZ119" s="206"/>
      <c r="EA119" s="20"/>
      <c r="EB119" s="20"/>
    </row>
    <row r="120" spans="127:132" x14ac:dyDescent="0.25">
      <c r="DW120" s="20"/>
      <c r="DX120" s="20"/>
      <c r="DY120" s="20"/>
      <c r="DZ120" s="206"/>
      <c r="EA120" s="20"/>
      <c r="EB120" s="20"/>
    </row>
    <row r="121" spans="127:132" x14ac:dyDescent="0.25">
      <c r="DW121" s="20"/>
      <c r="DX121" s="20"/>
      <c r="DY121" s="20"/>
      <c r="DZ121" s="206"/>
      <c r="EA121" s="20"/>
      <c r="EB121" s="20"/>
    </row>
    <row r="122" spans="127:132" x14ac:dyDescent="0.25">
      <c r="DW122" s="20"/>
      <c r="DX122" s="20"/>
      <c r="DY122" s="20"/>
      <c r="DZ122" s="206"/>
      <c r="EA122" s="20"/>
      <c r="EB122" s="20"/>
    </row>
    <row r="123" spans="127:132" x14ac:dyDescent="0.25">
      <c r="DW123" s="20"/>
      <c r="DX123" s="20"/>
      <c r="DY123" s="20"/>
      <c r="DZ123" s="206"/>
      <c r="EA123" s="20"/>
      <c r="EB123" s="20"/>
    </row>
    <row r="124" spans="127:132" x14ac:dyDescent="0.25">
      <c r="DW124" s="20"/>
      <c r="DX124" s="20"/>
      <c r="DY124" s="20"/>
      <c r="DZ124" s="206"/>
      <c r="EA124" s="20"/>
      <c r="EB124" s="20"/>
    </row>
    <row r="125" spans="127:132" x14ac:dyDescent="0.25">
      <c r="DW125" s="20"/>
      <c r="DX125" s="20"/>
      <c r="DY125" s="20"/>
      <c r="DZ125" s="206"/>
      <c r="EA125" s="20"/>
      <c r="EB125" s="20"/>
    </row>
    <row r="126" spans="127:132" x14ac:dyDescent="0.25">
      <c r="DW126" s="20"/>
      <c r="DX126" s="20"/>
      <c r="DY126" s="20"/>
      <c r="DZ126" s="206"/>
      <c r="EA126" s="20"/>
      <c r="EB126" s="20"/>
    </row>
    <row r="127" spans="127:132" x14ac:dyDescent="0.25">
      <c r="DW127" s="20"/>
      <c r="DX127" s="20"/>
      <c r="DY127" s="20"/>
      <c r="DZ127" s="206"/>
      <c r="EA127" s="20"/>
      <c r="EB127" s="20"/>
    </row>
    <row r="128" spans="127:132" x14ac:dyDescent="0.25">
      <c r="DW128" s="20"/>
      <c r="DX128" s="20"/>
      <c r="DY128" s="20"/>
      <c r="DZ128" s="198"/>
      <c r="EA128" s="20"/>
      <c r="EB128" s="20"/>
    </row>
    <row r="129" spans="127:132" x14ac:dyDescent="0.25">
      <c r="DW129" s="20"/>
      <c r="DX129" s="20"/>
      <c r="DY129" s="20"/>
      <c r="DZ129" s="198"/>
      <c r="EA129" s="20"/>
      <c r="EB129" s="20"/>
    </row>
    <row r="130" spans="127:132" x14ac:dyDescent="0.25">
      <c r="DW130" s="20"/>
      <c r="DX130" s="20"/>
      <c r="DY130" s="20"/>
      <c r="DZ130" s="198"/>
      <c r="EA130" s="20"/>
      <c r="EB130" s="20"/>
    </row>
    <row r="131" spans="127:132" x14ac:dyDescent="0.25">
      <c r="DW131" s="20"/>
      <c r="DX131" s="20"/>
      <c r="DY131" s="20"/>
      <c r="DZ131" s="198"/>
      <c r="EA131" s="20"/>
      <c r="EB131" s="20"/>
    </row>
    <row r="132" spans="127:132" x14ac:dyDescent="0.25">
      <c r="DW132" s="20"/>
      <c r="DX132" s="20"/>
      <c r="DY132" s="20"/>
      <c r="DZ132" s="198"/>
      <c r="EA132" s="20"/>
      <c r="EB132" s="20"/>
    </row>
    <row r="133" spans="127:132" x14ac:dyDescent="0.25">
      <c r="DW133" s="20"/>
      <c r="DX133" s="20"/>
      <c r="DY133" s="20"/>
      <c r="DZ133" s="198"/>
      <c r="EA133" s="20"/>
      <c r="EB133" s="20"/>
    </row>
    <row r="134" spans="127:132" x14ac:dyDescent="0.25">
      <c r="DW134" s="20"/>
      <c r="DX134" s="20"/>
      <c r="DY134" s="20"/>
      <c r="DZ134" s="198"/>
      <c r="EA134" s="20"/>
      <c r="EB134" s="20"/>
    </row>
    <row r="135" spans="127:132" x14ac:dyDescent="0.25">
      <c r="DW135" s="20"/>
      <c r="DX135" s="20"/>
      <c r="DY135" s="20"/>
      <c r="DZ135" s="198"/>
      <c r="EA135" s="20"/>
      <c r="EB135" s="20"/>
    </row>
    <row r="136" spans="127:132" x14ac:dyDescent="0.25">
      <c r="DW136" s="20"/>
      <c r="DX136" s="20"/>
      <c r="DY136" s="20"/>
      <c r="DZ136" s="198"/>
      <c r="EA136" s="20"/>
      <c r="EB136" s="20"/>
    </row>
    <row r="137" spans="127:132" x14ac:dyDescent="0.25">
      <c r="DW137" s="20"/>
      <c r="DX137" s="20"/>
      <c r="DY137" s="20"/>
      <c r="DZ137" s="198"/>
      <c r="EA137" s="20"/>
      <c r="EB137" s="20"/>
    </row>
    <row r="138" spans="127:132" x14ac:dyDescent="0.25">
      <c r="DW138" s="20"/>
      <c r="DX138" s="20"/>
      <c r="DY138" s="20"/>
      <c r="DZ138" s="198"/>
      <c r="EA138" s="20"/>
      <c r="EB138" s="20"/>
    </row>
    <row r="139" spans="127:132" x14ac:dyDescent="0.25">
      <c r="DW139" s="20"/>
      <c r="DX139" s="20"/>
      <c r="DY139" s="20"/>
      <c r="DZ139" s="198"/>
      <c r="EA139" s="20"/>
      <c r="EB139" s="20"/>
    </row>
    <row r="140" spans="127:132" x14ac:dyDescent="0.25">
      <c r="DW140" s="20"/>
      <c r="DX140" s="20"/>
      <c r="DY140" s="20"/>
      <c r="DZ140" s="198"/>
      <c r="EA140" s="20"/>
      <c r="EB140" s="20"/>
    </row>
    <row r="141" spans="127:132" x14ac:dyDescent="0.25">
      <c r="DW141" s="20"/>
      <c r="DX141" s="20"/>
      <c r="DY141" s="20"/>
      <c r="DZ141" s="198"/>
      <c r="EA141" s="20"/>
      <c r="EB141" s="20"/>
    </row>
    <row r="142" spans="127:132" x14ac:dyDescent="0.25">
      <c r="DW142" s="20"/>
      <c r="DX142" s="20"/>
      <c r="DY142" s="20"/>
      <c r="DZ142" s="198"/>
      <c r="EA142" s="20"/>
      <c r="EB142" s="20"/>
    </row>
    <row r="143" spans="127:132" x14ac:dyDescent="0.25">
      <c r="DW143" s="20"/>
      <c r="DX143" s="20"/>
      <c r="DY143" s="20"/>
      <c r="DZ143" s="198"/>
      <c r="EA143" s="20"/>
      <c r="EB143" s="20"/>
    </row>
    <row r="144" spans="127:132" x14ac:dyDescent="0.25">
      <c r="DW144" s="20"/>
      <c r="DX144" s="20"/>
      <c r="DY144" s="20"/>
      <c r="DZ144" s="198"/>
      <c r="EA144" s="20"/>
      <c r="EB144" s="20"/>
    </row>
    <row r="145" spans="120:133" x14ac:dyDescent="0.25">
      <c r="DP145" s="207" t="str">
        <f>INDEX(Language!A1:K117,MATCH("Language",Language!B1:B117,0),MATCH(Setup!C5,Language!A1:J1,0))</f>
        <v>Language</v>
      </c>
      <c r="DQ145" s="207"/>
      <c r="DR145" s="208"/>
      <c r="DS145" s="209"/>
      <c r="DT145" s="210" t="s">
        <v>123</v>
      </c>
      <c r="DW145" s="20"/>
      <c r="DX145" s="20"/>
      <c r="DY145" s="20"/>
      <c r="DZ145" s="198"/>
      <c r="EA145" s="20"/>
      <c r="EB145" s="20"/>
    </row>
    <row r="146" spans="120:133" x14ac:dyDescent="0.25">
      <c r="DP146" s="207"/>
      <c r="DQ146" s="207"/>
      <c r="DR146" s="208"/>
      <c r="DS146" s="209"/>
      <c r="DT146" s="210"/>
      <c r="DW146" s="20"/>
      <c r="DX146" s="20"/>
      <c r="DY146" s="20"/>
      <c r="DZ146" s="198"/>
      <c r="EA146" s="20"/>
      <c r="EB146" s="20"/>
      <c r="EC146" s="213"/>
    </row>
    <row r="147" spans="120:133" x14ac:dyDescent="0.25">
      <c r="DP147" s="207" t="str">
        <f>INDEX(Language!A1:K117,MATCH("Timezone",Language!B1:B117,0),MATCH(Setup!C5,Language!A1:J1,0))</f>
        <v>Timezone</v>
      </c>
      <c r="DQ147" s="207"/>
      <c r="DR147" s="208"/>
      <c r="DS147" s="209"/>
      <c r="DT147" s="210" t="s">
        <v>123</v>
      </c>
      <c r="DW147" s="20"/>
      <c r="DX147" s="20"/>
      <c r="DY147" s="20"/>
      <c r="DZ147" s="198"/>
      <c r="EA147" s="20"/>
      <c r="EB147" s="20"/>
      <c r="EC147" s="213"/>
    </row>
    <row r="148" spans="120:133" x14ac:dyDescent="0.25">
      <c r="DW148" s="20"/>
      <c r="DX148" s="20"/>
      <c r="DY148" s="20"/>
      <c r="DZ148" s="198"/>
      <c r="EA148" s="20"/>
      <c r="EB148" s="20"/>
      <c r="EC148" s="213"/>
    </row>
    <row r="149" spans="120:133" x14ac:dyDescent="0.25">
      <c r="DW149" s="20"/>
      <c r="DX149" s="20"/>
      <c r="DY149" s="20"/>
      <c r="DZ149" s="198"/>
      <c r="EA149" s="20"/>
      <c r="EB149" s="20"/>
    </row>
    <row r="150" spans="120:133" ht="30" x14ac:dyDescent="0.25">
      <c r="DW150" s="211" t="s">
        <v>124</v>
      </c>
      <c r="DX150" s="211"/>
      <c r="DY150" s="211"/>
      <c r="DZ150" s="211"/>
      <c r="EA150" s="214"/>
      <c r="EB150" s="214"/>
    </row>
    <row r="151" spans="120:133" x14ac:dyDescent="0.25">
      <c r="DW151" s="211"/>
      <c r="DX151" s="211"/>
      <c r="DY151" s="211"/>
      <c r="DZ151" s="211"/>
      <c r="EA151" s="214"/>
      <c r="EB151" s="214"/>
    </row>
    <row r="152" spans="120:133" x14ac:dyDescent="0.25">
      <c r="DW152" s="211"/>
      <c r="DX152" s="211"/>
      <c r="DY152" s="211"/>
      <c r="DZ152" s="211"/>
      <c r="EA152" s="214"/>
      <c r="EB152" s="214"/>
    </row>
  </sheetData>
  <sheetProtection algorithmName="SHA-512" hashValue="LMaCa6fCNlXe+vyx1/WbD+JJzeyp8LvFwXq3KonktpzN0gm3lgG+stbUORHtytIifyv9EjQsGgUr+E3mtkGRug==" saltValue="Omsut25mtnGaiRvFrojE+Q==" spinCount="100000" sheet="1" objects="1" scenarios="1" selectLockedCells="1" selectUnlockedCells="1"/>
  <phoneticPr fontId="34" type="noConversion"/>
  <conditionalFormatting sqref="J1:J1048576">
    <cfRule type="duplicateValues" dxfId="1" priority="1"/>
  </conditionalFormatting>
  <conditionalFormatting sqref="P31">
    <cfRule type="expression" dxfId="0" priority="2">
      <formula>$B$52&lt;&gt;""</formula>
    </cfRule>
  </conditionalFormatting>
  <dataValidations disablePrompts="1" count="1">
    <dataValidation type="list" allowBlank="1" showInputMessage="1" showErrorMessage="1" sqref="DW150" xr:uid="{00000000-0002-0000-0200-000000000000}">
      <formula1>Location</formula1>
    </dataValidation>
  </dataValidations>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11"/>
  <sheetViews>
    <sheetView showGridLines="0" workbookViewId="0">
      <selection activeCell="B38" sqref="B38"/>
    </sheetView>
  </sheetViews>
  <sheetFormatPr defaultColWidth="9.140625" defaultRowHeight="15" x14ac:dyDescent="0.25"/>
  <cols>
    <col min="1" max="1" width="4" style="25" bestFit="1" customWidth="1"/>
    <col min="2" max="9" width="20.7109375" style="25" customWidth="1"/>
    <col min="10" max="10" width="9.140625" style="25"/>
    <col min="11" max="11" width="9.140625" style="33"/>
    <col min="12" max="16384" width="9.140625" style="25"/>
  </cols>
  <sheetData>
    <row r="1" spans="1:20" x14ac:dyDescent="0.25">
      <c r="A1" s="34">
        <v>1</v>
      </c>
      <c r="B1" s="34" t="s">
        <v>474</v>
      </c>
      <c r="C1" s="34" t="s">
        <v>1</v>
      </c>
      <c r="D1" s="34" t="s">
        <v>125</v>
      </c>
      <c r="E1" s="34" t="s">
        <v>126</v>
      </c>
      <c r="F1" s="34" t="s">
        <v>127</v>
      </c>
      <c r="G1" s="34" t="s">
        <v>128</v>
      </c>
      <c r="H1" s="34" t="s">
        <v>129</v>
      </c>
      <c r="I1" s="34" t="str">
        <f>Setup!C6</f>
        <v>MY LANGUAGE</v>
      </c>
    </row>
    <row r="2" spans="1:20" x14ac:dyDescent="0.25">
      <c r="A2" s="34">
        <v>1</v>
      </c>
      <c r="B2" s="34">
        <v>2</v>
      </c>
      <c r="C2" s="34">
        <v>3</v>
      </c>
      <c r="D2" s="34">
        <v>4</v>
      </c>
      <c r="E2" s="34">
        <v>5</v>
      </c>
      <c r="F2" s="34">
        <v>6</v>
      </c>
      <c r="G2" s="34">
        <v>7</v>
      </c>
      <c r="H2" s="34">
        <v>8</v>
      </c>
      <c r="I2" s="34">
        <v>9</v>
      </c>
    </row>
    <row r="3" spans="1:20" x14ac:dyDescent="0.25">
      <c r="A3" s="34">
        <v>2</v>
      </c>
      <c r="B3" s="35" t="s">
        <v>511</v>
      </c>
      <c r="C3" s="34" t="s">
        <v>511</v>
      </c>
      <c r="D3" s="35" t="s">
        <v>511</v>
      </c>
      <c r="E3" s="35" t="s">
        <v>511</v>
      </c>
      <c r="F3" s="35" t="s">
        <v>511</v>
      </c>
      <c r="G3" s="35" t="s">
        <v>511</v>
      </c>
      <c r="H3" s="34" t="s">
        <v>511</v>
      </c>
      <c r="I3" s="35" t="str">
        <f>IF(Setup!C8&lt;&gt;"",Setup!C8,Setup!B8)</f>
        <v>Palmeiras</v>
      </c>
      <c r="K3" s="25"/>
    </row>
    <row r="4" spans="1:20" x14ac:dyDescent="0.25">
      <c r="A4" s="34">
        <v>3</v>
      </c>
      <c r="B4" s="35" t="s">
        <v>513</v>
      </c>
      <c r="C4" s="36" t="s">
        <v>513</v>
      </c>
      <c r="D4" s="37" t="s">
        <v>513</v>
      </c>
      <c r="E4" s="37" t="s">
        <v>513</v>
      </c>
      <c r="F4" s="37" t="s">
        <v>513</v>
      </c>
      <c r="G4" s="37" t="s">
        <v>513</v>
      </c>
      <c r="H4" s="37" t="s">
        <v>513</v>
      </c>
      <c r="I4" s="35" t="str">
        <f>IF(Setup!C9&lt;&gt;"",Setup!C9,Setup!B9)</f>
        <v>Porto</v>
      </c>
      <c r="K4" s="25"/>
    </row>
    <row r="5" spans="1:20" x14ac:dyDescent="0.25">
      <c r="A5" s="34">
        <v>4</v>
      </c>
      <c r="B5" s="35" t="s">
        <v>515</v>
      </c>
      <c r="C5" s="34" t="s">
        <v>515</v>
      </c>
      <c r="D5" s="35" t="s">
        <v>515</v>
      </c>
      <c r="E5" s="35" t="s">
        <v>515</v>
      </c>
      <c r="F5" s="35" t="s">
        <v>515</v>
      </c>
      <c r="G5" s="35" t="s">
        <v>515</v>
      </c>
      <c r="H5" s="34" t="s">
        <v>515</v>
      </c>
      <c r="I5" s="35" t="str">
        <f>IF(Setup!C10&lt;&gt;"",Setup!C10,Setup!B10)</f>
        <v>Al Ahly</v>
      </c>
      <c r="K5" s="25"/>
    </row>
    <row r="6" spans="1:20" x14ac:dyDescent="0.25">
      <c r="A6" s="34">
        <v>5</v>
      </c>
      <c r="B6" s="35" t="s">
        <v>517</v>
      </c>
      <c r="C6" s="34" t="s">
        <v>517</v>
      </c>
      <c r="D6" s="35" t="s">
        <v>517</v>
      </c>
      <c r="E6" s="35" t="s">
        <v>517</v>
      </c>
      <c r="F6" s="35" t="s">
        <v>517</v>
      </c>
      <c r="G6" s="35" t="s">
        <v>517</v>
      </c>
      <c r="H6" s="34" t="s">
        <v>517</v>
      </c>
      <c r="I6" s="35" t="str">
        <f>IF(Setup!C11&lt;&gt;"",Setup!C11,Setup!B11)</f>
        <v>Inter Miami</v>
      </c>
      <c r="K6" s="25"/>
    </row>
    <row r="7" spans="1:20" x14ac:dyDescent="0.25">
      <c r="A7" s="34">
        <v>6</v>
      </c>
      <c r="B7" s="35" t="s">
        <v>519</v>
      </c>
      <c r="C7" s="34" t="s">
        <v>519</v>
      </c>
      <c r="D7" s="35" t="s">
        <v>519</v>
      </c>
      <c r="E7" s="35" t="s">
        <v>519</v>
      </c>
      <c r="F7" s="35" t="s">
        <v>519</v>
      </c>
      <c r="G7" s="35" t="s">
        <v>519</v>
      </c>
      <c r="H7" s="34" t="s">
        <v>519</v>
      </c>
      <c r="I7" s="35" t="str">
        <f>IF(Setup!C12&lt;&gt;"",Setup!C12,Setup!B12)</f>
        <v>Paris Saint-Germain</v>
      </c>
      <c r="K7" s="25"/>
      <c r="T7" s="26"/>
    </row>
    <row r="8" spans="1:20" x14ac:dyDescent="0.25">
      <c r="A8" s="34">
        <v>7</v>
      </c>
      <c r="B8" s="35" t="s">
        <v>521</v>
      </c>
      <c r="C8" s="34" t="s">
        <v>521</v>
      </c>
      <c r="D8" s="35" t="s">
        <v>521</v>
      </c>
      <c r="E8" s="35" t="s">
        <v>521</v>
      </c>
      <c r="F8" s="35" t="s">
        <v>521</v>
      </c>
      <c r="G8" s="35" t="s">
        <v>521</v>
      </c>
      <c r="H8" s="34" t="s">
        <v>521</v>
      </c>
      <c r="I8" s="35" t="str">
        <f>IF(Setup!C13&lt;&gt;"",Setup!C13,Setup!B13)</f>
        <v>Atletico Madrid</v>
      </c>
      <c r="K8" s="25"/>
    </row>
    <row r="9" spans="1:20" x14ac:dyDescent="0.25">
      <c r="A9" s="34">
        <v>8</v>
      </c>
      <c r="B9" s="35" t="s">
        <v>523</v>
      </c>
      <c r="C9" s="34" t="s">
        <v>523</v>
      </c>
      <c r="D9" s="35" t="s">
        <v>523</v>
      </c>
      <c r="E9" s="35" t="s">
        <v>523</v>
      </c>
      <c r="F9" s="35" t="s">
        <v>523</v>
      </c>
      <c r="G9" s="35" t="s">
        <v>523</v>
      </c>
      <c r="H9" s="34" t="s">
        <v>523</v>
      </c>
      <c r="I9" s="35" t="str">
        <f>IF(Setup!C14&lt;&gt;"",Setup!C14,Setup!B14)</f>
        <v>Botafogo</v>
      </c>
      <c r="K9" s="25"/>
      <c r="T9" s="26"/>
    </row>
    <row r="10" spans="1:20" x14ac:dyDescent="0.25">
      <c r="A10" s="34">
        <v>9</v>
      </c>
      <c r="B10" s="35" t="s">
        <v>524</v>
      </c>
      <c r="C10" s="34" t="s">
        <v>524</v>
      </c>
      <c r="D10" s="35" t="s">
        <v>524</v>
      </c>
      <c r="E10" s="35" t="s">
        <v>524</v>
      </c>
      <c r="F10" s="35" t="s">
        <v>524</v>
      </c>
      <c r="G10" s="35" t="s">
        <v>524</v>
      </c>
      <c r="H10" s="34" t="s">
        <v>524</v>
      </c>
      <c r="I10" s="35" t="str">
        <f>IF(Setup!C15&lt;&gt;"",Setup!C15,Setup!B15)</f>
        <v>Seattle Sounders</v>
      </c>
      <c r="K10" s="25"/>
    </row>
    <row r="11" spans="1:20" x14ac:dyDescent="0.25">
      <c r="A11" s="34">
        <v>10</v>
      </c>
      <c r="B11" s="35" t="s">
        <v>525</v>
      </c>
      <c r="C11" s="35" t="s">
        <v>525</v>
      </c>
      <c r="D11" s="35" t="s">
        <v>525</v>
      </c>
      <c r="E11" s="35" t="s">
        <v>525</v>
      </c>
      <c r="F11" s="35" t="s">
        <v>525</v>
      </c>
      <c r="G11" s="35" t="s">
        <v>525</v>
      </c>
      <c r="H11" s="35" t="s">
        <v>525</v>
      </c>
      <c r="I11" s="35" t="str">
        <f>IF(Setup!C16&lt;&gt;"",Setup!C16,Setup!B16)</f>
        <v>Bayern Munich</v>
      </c>
      <c r="K11" s="25"/>
      <c r="T11" s="26"/>
    </row>
    <row r="12" spans="1:20" x14ac:dyDescent="0.25">
      <c r="A12" s="34">
        <v>11</v>
      </c>
      <c r="B12" s="35" t="s">
        <v>527</v>
      </c>
      <c r="C12" s="34" t="s">
        <v>527</v>
      </c>
      <c r="D12" s="35" t="s">
        <v>527</v>
      </c>
      <c r="E12" s="35" t="s">
        <v>527</v>
      </c>
      <c r="F12" s="35" t="s">
        <v>527</v>
      </c>
      <c r="G12" s="35" t="s">
        <v>527</v>
      </c>
      <c r="H12" s="34" t="s">
        <v>527</v>
      </c>
      <c r="I12" s="35" t="str">
        <f>IF(Setup!C17&lt;&gt;"",Setup!C17,Setup!B17)</f>
        <v>Auckland City</v>
      </c>
      <c r="K12" s="25"/>
      <c r="T12" s="26"/>
    </row>
    <row r="13" spans="1:20" x14ac:dyDescent="0.25">
      <c r="A13" s="34">
        <v>12</v>
      </c>
      <c r="B13" s="35" t="s">
        <v>529</v>
      </c>
      <c r="C13" s="34" t="s">
        <v>529</v>
      </c>
      <c r="D13" s="35" t="s">
        <v>529</v>
      </c>
      <c r="E13" s="35" t="s">
        <v>529</v>
      </c>
      <c r="F13" s="35" t="s">
        <v>529</v>
      </c>
      <c r="G13" s="35" t="s">
        <v>529</v>
      </c>
      <c r="H13" s="34" t="s">
        <v>529</v>
      </c>
      <c r="I13" s="35" t="str">
        <f>IF(Setup!C18&lt;&gt;"",Setup!C18,Setup!B18)</f>
        <v>Boca Juniors</v>
      </c>
      <c r="K13" s="25"/>
    </row>
    <row r="14" spans="1:20" x14ac:dyDescent="0.25">
      <c r="A14" s="34">
        <v>13</v>
      </c>
      <c r="B14" s="35" t="s">
        <v>531</v>
      </c>
      <c r="C14" s="34" t="s">
        <v>531</v>
      </c>
      <c r="D14" s="35" t="s">
        <v>531</v>
      </c>
      <c r="E14" s="35" t="s">
        <v>531</v>
      </c>
      <c r="F14" s="35" t="s">
        <v>531</v>
      </c>
      <c r="G14" s="35" t="s">
        <v>531</v>
      </c>
      <c r="H14" s="34" t="s">
        <v>531</v>
      </c>
      <c r="I14" s="35" t="str">
        <f>IF(Setup!C19&lt;&gt;"",Setup!C19,Setup!B19)</f>
        <v>Benfica</v>
      </c>
      <c r="K14" s="25"/>
      <c r="T14" s="26"/>
    </row>
    <row r="15" spans="1:20" x14ac:dyDescent="0.25">
      <c r="A15" s="34">
        <v>14</v>
      </c>
      <c r="B15" s="35" t="s">
        <v>532</v>
      </c>
      <c r="C15" s="34" t="s">
        <v>532</v>
      </c>
      <c r="D15" s="35" t="s">
        <v>532</v>
      </c>
      <c r="E15" s="35" t="s">
        <v>532</v>
      </c>
      <c r="F15" s="35" t="s">
        <v>532</v>
      </c>
      <c r="G15" s="35" t="s">
        <v>532</v>
      </c>
      <c r="H15" s="34" t="s">
        <v>532</v>
      </c>
      <c r="I15" s="35" t="str">
        <f>IF(Setup!C20&lt;&gt;"",Setup!C20,Setup!B20)</f>
        <v>Flamengo</v>
      </c>
      <c r="K15" s="25"/>
      <c r="T15" s="26"/>
    </row>
    <row r="16" spans="1:20" x14ac:dyDescent="0.25">
      <c r="A16" s="34">
        <v>15</v>
      </c>
      <c r="B16" s="35" t="s">
        <v>533</v>
      </c>
      <c r="C16" s="35" t="s">
        <v>533</v>
      </c>
      <c r="D16" s="35" t="s">
        <v>533</v>
      </c>
      <c r="E16" s="35" t="s">
        <v>533</v>
      </c>
      <c r="F16" s="35" t="s">
        <v>533</v>
      </c>
      <c r="G16" s="35" t="s">
        <v>533</v>
      </c>
      <c r="H16" s="35" t="s">
        <v>533</v>
      </c>
      <c r="I16" s="35" t="str">
        <f>IF(Setup!C21&lt;&gt;"",Setup!C21,Setup!B21)</f>
        <v>Espérance Sportive de Tunis</v>
      </c>
      <c r="K16" s="25"/>
      <c r="T16" s="26"/>
    </row>
    <row r="17" spans="1:20" x14ac:dyDescent="0.25">
      <c r="A17" s="34">
        <v>16</v>
      </c>
      <c r="B17" s="35" t="s">
        <v>535</v>
      </c>
      <c r="C17" s="34" t="s">
        <v>535</v>
      </c>
      <c r="D17" s="35" t="s">
        <v>535</v>
      </c>
      <c r="E17" s="35" t="s">
        <v>535</v>
      </c>
      <c r="F17" s="35" t="s">
        <v>535</v>
      </c>
      <c r="G17" s="35" t="s">
        <v>535</v>
      </c>
      <c r="H17" s="34" t="s">
        <v>535</v>
      </c>
      <c r="I17" s="35" t="str">
        <f>IF(Setup!C22&lt;&gt;"",Setup!C22,Setup!B22)</f>
        <v>Chelsea</v>
      </c>
      <c r="K17" s="25"/>
      <c r="T17" s="26"/>
    </row>
    <row r="18" spans="1:20" x14ac:dyDescent="0.25">
      <c r="A18" s="34">
        <v>17</v>
      </c>
      <c r="B18" s="35" t="s">
        <v>673</v>
      </c>
      <c r="C18" s="35" t="s">
        <v>673</v>
      </c>
      <c r="D18" s="35" t="s">
        <v>673</v>
      </c>
      <c r="E18" s="35" t="s">
        <v>673</v>
      </c>
      <c r="F18" s="35" t="s">
        <v>673</v>
      </c>
      <c r="G18" s="35" t="s">
        <v>673</v>
      </c>
      <c r="H18" s="35" t="s">
        <v>673</v>
      </c>
      <c r="I18" s="35" t="str">
        <f>IF(Setup!C23&lt;&gt;"",Setup!C23,Setup!B23)</f>
        <v>Los Angeles</v>
      </c>
      <c r="K18" s="25"/>
    </row>
    <row r="19" spans="1:20" x14ac:dyDescent="0.25">
      <c r="A19" s="34">
        <v>18</v>
      </c>
      <c r="B19" s="35" t="s">
        <v>538</v>
      </c>
      <c r="C19" s="34" t="s">
        <v>538</v>
      </c>
      <c r="D19" s="35" t="s">
        <v>538</v>
      </c>
      <c r="E19" s="35" t="s">
        <v>538</v>
      </c>
      <c r="F19" s="35" t="s">
        <v>538</v>
      </c>
      <c r="G19" s="35" t="s">
        <v>538</v>
      </c>
      <c r="H19" s="34" t="s">
        <v>538</v>
      </c>
      <c r="I19" s="35" t="str">
        <f>IF(Setup!C24&lt;&gt;"",Setup!C24,Setup!B24)</f>
        <v>River Plate</v>
      </c>
      <c r="K19" s="25"/>
      <c r="T19" s="26"/>
    </row>
    <row r="20" spans="1:20" x14ac:dyDescent="0.25">
      <c r="A20" s="34">
        <v>19</v>
      </c>
      <c r="B20" s="35" t="s">
        <v>539</v>
      </c>
      <c r="C20" s="35" t="s">
        <v>539</v>
      </c>
      <c r="D20" s="35" t="s">
        <v>539</v>
      </c>
      <c r="E20" s="35" t="s">
        <v>539</v>
      </c>
      <c r="F20" s="35" t="s">
        <v>539</v>
      </c>
      <c r="G20" s="35" t="s">
        <v>539</v>
      </c>
      <c r="H20" s="35" t="s">
        <v>539</v>
      </c>
      <c r="I20" s="35" t="str">
        <f>IF(Setup!C25&lt;&gt;"",Setup!C25,Setup!B25)</f>
        <v>Urawa Red Diamonds</v>
      </c>
      <c r="K20" s="25"/>
    </row>
    <row r="21" spans="1:20" x14ac:dyDescent="0.25">
      <c r="A21" s="34">
        <v>20</v>
      </c>
      <c r="B21" s="35" t="s">
        <v>541</v>
      </c>
      <c r="C21" s="34" t="s">
        <v>541</v>
      </c>
      <c r="D21" s="35" t="s">
        <v>541</v>
      </c>
      <c r="E21" s="35" t="s">
        <v>541</v>
      </c>
      <c r="F21" s="35" t="s">
        <v>541</v>
      </c>
      <c r="G21" s="35" t="s">
        <v>541</v>
      </c>
      <c r="H21" s="34" t="s">
        <v>541</v>
      </c>
      <c r="I21" s="35" t="str">
        <f>IF(Setup!C26&lt;&gt;"",Setup!C26,Setup!B26)</f>
        <v>Monterrey</v>
      </c>
      <c r="K21" s="25"/>
      <c r="T21" s="26"/>
    </row>
    <row r="22" spans="1:20" x14ac:dyDescent="0.25">
      <c r="A22" s="34">
        <v>21</v>
      </c>
      <c r="B22" s="35" t="s">
        <v>542</v>
      </c>
      <c r="C22" s="34" t="s">
        <v>542</v>
      </c>
      <c r="D22" s="35" t="s">
        <v>542</v>
      </c>
      <c r="E22" s="35" t="s">
        <v>542</v>
      </c>
      <c r="F22" s="35" t="s">
        <v>542</v>
      </c>
      <c r="G22" s="35" t="s">
        <v>542</v>
      </c>
      <c r="H22" s="34" t="s">
        <v>542</v>
      </c>
      <c r="I22" s="35" t="str">
        <f>IF(Setup!C27&lt;&gt;"",Setup!C27,Setup!B27)</f>
        <v>Internazionale</v>
      </c>
      <c r="K22" s="25"/>
    </row>
    <row r="23" spans="1:20" x14ac:dyDescent="0.25">
      <c r="A23" s="34">
        <v>22</v>
      </c>
      <c r="B23" s="35" t="s">
        <v>544</v>
      </c>
      <c r="C23" s="34" t="s">
        <v>544</v>
      </c>
      <c r="D23" s="35" t="s">
        <v>544</v>
      </c>
      <c r="E23" s="35" t="s">
        <v>544</v>
      </c>
      <c r="F23" s="35" t="s">
        <v>544</v>
      </c>
      <c r="G23" s="35" t="s">
        <v>544</v>
      </c>
      <c r="H23" s="34" t="s">
        <v>544</v>
      </c>
      <c r="I23" s="35" t="str">
        <f>IF(Setup!C28&lt;&gt;"",Setup!C28,Setup!B28)</f>
        <v>Fluminense</v>
      </c>
      <c r="K23" s="25"/>
      <c r="T23" s="26"/>
    </row>
    <row r="24" spans="1:20" x14ac:dyDescent="0.25">
      <c r="A24" s="34">
        <v>23</v>
      </c>
      <c r="B24" s="35" t="s">
        <v>545</v>
      </c>
      <c r="C24" s="35" t="s">
        <v>545</v>
      </c>
      <c r="D24" s="35" t="s">
        <v>545</v>
      </c>
      <c r="E24" s="35" t="s">
        <v>545</v>
      </c>
      <c r="F24" s="35" t="s">
        <v>545</v>
      </c>
      <c r="G24" s="35" t="s">
        <v>545</v>
      </c>
      <c r="H24" s="35" t="s">
        <v>545</v>
      </c>
      <c r="I24" s="35" t="str">
        <f>IF(Setup!C29&lt;&gt;"",Setup!C29,Setup!B29)</f>
        <v>Borussia Dortmund</v>
      </c>
      <c r="K24" s="25"/>
      <c r="T24" s="26"/>
    </row>
    <row r="25" spans="1:20" x14ac:dyDescent="0.25">
      <c r="A25" s="34">
        <v>24</v>
      </c>
      <c r="B25" s="35" t="s">
        <v>546</v>
      </c>
      <c r="C25" s="35" t="s">
        <v>546</v>
      </c>
      <c r="D25" s="35" t="s">
        <v>546</v>
      </c>
      <c r="E25" s="35" t="s">
        <v>546</v>
      </c>
      <c r="F25" s="35" t="s">
        <v>546</v>
      </c>
      <c r="G25" s="35" t="s">
        <v>546</v>
      </c>
      <c r="H25" s="35" t="s">
        <v>546</v>
      </c>
      <c r="I25" s="35" t="str">
        <f>IF(Setup!C30&lt;&gt;"",Setup!C30,Setup!B30)</f>
        <v>Ulsan HD</v>
      </c>
      <c r="K25" s="25"/>
    </row>
    <row r="26" spans="1:20" x14ac:dyDescent="0.25">
      <c r="A26" s="34">
        <v>25</v>
      </c>
      <c r="B26" s="35" t="s">
        <v>548</v>
      </c>
      <c r="C26" s="34" t="s">
        <v>548</v>
      </c>
      <c r="D26" s="35" t="s">
        <v>548</v>
      </c>
      <c r="E26" s="35" t="s">
        <v>548</v>
      </c>
      <c r="F26" s="35" t="s">
        <v>548</v>
      </c>
      <c r="G26" s="35" t="s">
        <v>548</v>
      </c>
      <c r="H26" s="34" t="s">
        <v>548</v>
      </c>
      <c r="I26" s="35" t="str">
        <f>IF(Setup!C31&lt;&gt;"",Setup!C31,Setup!B31)</f>
        <v>Mamelodi Sundowns</v>
      </c>
      <c r="K26" s="25"/>
      <c r="T26" s="26"/>
    </row>
    <row r="27" spans="1:20" x14ac:dyDescent="0.25">
      <c r="A27" s="34">
        <v>26</v>
      </c>
      <c r="B27" s="35" t="s">
        <v>550</v>
      </c>
      <c r="C27" s="34" t="s">
        <v>550</v>
      </c>
      <c r="D27" s="35" t="s">
        <v>550</v>
      </c>
      <c r="E27" s="35" t="s">
        <v>550</v>
      </c>
      <c r="F27" s="35" t="s">
        <v>550</v>
      </c>
      <c r="G27" s="35" t="s">
        <v>550</v>
      </c>
      <c r="H27" s="34" t="s">
        <v>550</v>
      </c>
      <c r="I27" s="35" t="str">
        <f>IF(Setup!C32&lt;&gt;"",Setup!C32,Setup!B32)</f>
        <v>Manchester City</v>
      </c>
      <c r="K27" s="25"/>
      <c r="T27" s="26"/>
    </row>
    <row r="28" spans="1:20" x14ac:dyDescent="0.25">
      <c r="A28" s="34">
        <v>27</v>
      </c>
      <c r="B28" s="35" t="s">
        <v>551</v>
      </c>
      <c r="C28" s="34" t="s">
        <v>551</v>
      </c>
      <c r="D28" s="35" t="s">
        <v>551</v>
      </c>
      <c r="E28" s="35" t="s">
        <v>551</v>
      </c>
      <c r="F28" s="35" t="s">
        <v>551</v>
      </c>
      <c r="G28" s="35" t="s">
        <v>551</v>
      </c>
      <c r="H28" s="34" t="s">
        <v>551</v>
      </c>
      <c r="I28" s="35" t="str">
        <f>IF(Setup!C33&lt;&gt;"",Setup!C33,Setup!B33)</f>
        <v>Wydad AC</v>
      </c>
      <c r="K28" s="25"/>
      <c r="T28" s="26"/>
    </row>
    <row r="29" spans="1:20" x14ac:dyDescent="0.25">
      <c r="A29" s="34">
        <v>28</v>
      </c>
      <c r="B29" s="35" t="s">
        <v>553</v>
      </c>
      <c r="C29" s="34" t="s">
        <v>553</v>
      </c>
      <c r="D29" s="35" t="s">
        <v>553</v>
      </c>
      <c r="E29" s="35" t="s">
        <v>553</v>
      </c>
      <c r="F29" s="35" t="s">
        <v>553</v>
      </c>
      <c r="G29" s="35" t="s">
        <v>553</v>
      </c>
      <c r="H29" s="34" t="s">
        <v>553</v>
      </c>
      <c r="I29" s="35" t="str">
        <f>IF(Setup!C34&lt;&gt;"",Setup!C34,Setup!B34)</f>
        <v>Al Ain</v>
      </c>
      <c r="K29" s="25"/>
    </row>
    <row r="30" spans="1:20" x14ac:dyDescent="0.25">
      <c r="A30" s="34">
        <v>29</v>
      </c>
      <c r="B30" s="35" t="s">
        <v>555</v>
      </c>
      <c r="C30" s="34" t="s">
        <v>555</v>
      </c>
      <c r="D30" s="35" t="s">
        <v>555</v>
      </c>
      <c r="E30" s="35" t="s">
        <v>555</v>
      </c>
      <c r="F30" s="35" t="s">
        <v>555</v>
      </c>
      <c r="G30" s="35" t="s">
        <v>555</v>
      </c>
      <c r="H30" s="34" t="s">
        <v>555</v>
      </c>
      <c r="I30" s="35" t="str">
        <f>IF(Setup!C35&lt;&gt;"",Setup!C35,Setup!B35)</f>
        <v>Juventus</v>
      </c>
      <c r="K30" s="25"/>
    </row>
    <row r="31" spans="1:20" x14ac:dyDescent="0.25">
      <c r="A31" s="34">
        <v>30</v>
      </c>
      <c r="B31" s="35" t="s">
        <v>556</v>
      </c>
      <c r="C31" s="35" t="s">
        <v>556</v>
      </c>
      <c r="D31" s="35" t="s">
        <v>556</v>
      </c>
      <c r="E31" s="35" t="s">
        <v>556</v>
      </c>
      <c r="F31" s="35" t="s">
        <v>556</v>
      </c>
      <c r="G31" s="35" t="s">
        <v>556</v>
      </c>
      <c r="H31" s="35" t="s">
        <v>556</v>
      </c>
      <c r="I31" s="35" t="str">
        <f>IF(Setup!C36&lt;&gt;"",Setup!C36,Setup!B36)</f>
        <v>Real Madrid</v>
      </c>
      <c r="K31" s="25"/>
      <c r="T31" s="26"/>
    </row>
    <row r="32" spans="1:20" x14ac:dyDescent="0.25">
      <c r="A32" s="34">
        <v>31</v>
      </c>
      <c r="B32" s="35" t="s">
        <v>557</v>
      </c>
      <c r="C32" s="34" t="s">
        <v>557</v>
      </c>
      <c r="D32" s="35" t="s">
        <v>557</v>
      </c>
      <c r="E32" s="35" t="s">
        <v>557</v>
      </c>
      <c r="F32" s="35" t="s">
        <v>557</v>
      </c>
      <c r="G32" s="35" t="s">
        <v>557</v>
      </c>
      <c r="H32" s="34" t="s">
        <v>557</v>
      </c>
      <c r="I32" s="35" t="str">
        <f>IF(Setup!C37&lt;&gt;"",Setup!C37,Setup!B37)</f>
        <v>Al Hilal</v>
      </c>
      <c r="K32" s="25"/>
      <c r="T32" s="26"/>
    </row>
    <row r="33" spans="1:20" x14ac:dyDescent="0.25">
      <c r="A33" s="34">
        <v>32</v>
      </c>
      <c r="B33" s="35" t="s">
        <v>559</v>
      </c>
      <c r="C33" s="35" t="s">
        <v>559</v>
      </c>
      <c r="D33" s="35" t="s">
        <v>559</v>
      </c>
      <c r="E33" s="35" t="s">
        <v>559</v>
      </c>
      <c r="F33" s="35" t="s">
        <v>559</v>
      </c>
      <c r="G33" s="35" t="s">
        <v>559</v>
      </c>
      <c r="H33" s="35" t="s">
        <v>559</v>
      </c>
      <c r="I33" s="35" t="str">
        <f>IF(Setup!C38&lt;&gt;"",Setup!C38,Setup!B38)</f>
        <v>Pachuca</v>
      </c>
      <c r="K33" s="25"/>
      <c r="T33" s="26"/>
    </row>
    <row r="34" spans="1:20" x14ac:dyDescent="0.25">
      <c r="A34" s="34">
        <v>33</v>
      </c>
      <c r="B34" s="35" t="s">
        <v>560</v>
      </c>
      <c r="C34" s="34" t="s">
        <v>560</v>
      </c>
      <c r="D34" s="35" t="s">
        <v>560</v>
      </c>
      <c r="E34" s="35" t="s">
        <v>560</v>
      </c>
      <c r="F34" s="35" t="s">
        <v>560</v>
      </c>
      <c r="G34" s="35" t="s">
        <v>560</v>
      </c>
      <c r="H34" s="34" t="s">
        <v>560</v>
      </c>
      <c r="I34" s="35" t="str">
        <f>IF(Setup!C39&lt;&gt;"",Setup!C39,Setup!B39)</f>
        <v>Salzburg</v>
      </c>
      <c r="T34" s="26"/>
    </row>
    <row r="35" spans="1:20" x14ac:dyDescent="0.25">
      <c r="A35" s="34">
        <v>34</v>
      </c>
      <c r="B35" s="35" t="str">
        <f>Setup!B40</f>
        <v>Language</v>
      </c>
      <c r="C35" s="34" t="s">
        <v>7</v>
      </c>
      <c r="D35" s="35" t="s">
        <v>130</v>
      </c>
      <c r="E35" s="35" t="s">
        <v>131</v>
      </c>
      <c r="F35" s="35" t="s">
        <v>132</v>
      </c>
      <c r="G35" s="35" t="s">
        <v>133</v>
      </c>
      <c r="H35" s="34" t="s">
        <v>133</v>
      </c>
      <c r="I35" s="35" t="str">
        <f>IF(Setup!C40&lt;&gt;"",Setup!C40,Setup!B40)</f>
        <v>Language</v>
      </c>
    </row>
    <row r="36" spans="1:20" x14ac:dyDescent="0.25">
      <c r="A36" s="34">
        <v>35</v>
      </c>
      <c r="B36" s="35" t="str">
        <f>Setup!B41</f>
        <v>Timezone</v>
      </c>
      <c r="C36" s="34" t="s">
        <v>8</v>
      </c>
      <c r="D36" s="35" t="s">
        <v>134</v>
      </c>
      <c r="E36" s="35" t="s">
        <v>135</v>
      </c>
      <c r="F36" s="35" t="s">
        <v>136</v>
      </c>
      <c r="G36" s="35" t="s">
        <v>137</v>
      </c>
      <c r="H36" s="34" t="s">
        <v>138</v>
      </c>
      <c r="I36" s="35" t="str">
        <f>IF(Setup!C41&lt;&gt;"",Setup!C41,Setup!B41)</f>
        <v>Timezone</v>
      </c>
    </row>
    <row r="37" spans="1:20" x14ac:dyDescent="0.25">
      <c r="A37" s="34">
        <v>36</v>
      </c>
      <c r="B37" s="35" t="str">
        <f>Setup!B42</f>
        <v>Group Stages</v>
      </c>
      <c r="C37" s="34" t="s">
        <v>9</v>
      </c>
      <c r="D37" s="35" t="s">
        <v>139</v>
      </c>
      <c r="E37" s="35" t="s">
        <v>140</v>
      </c>
      <c r="F37" s="35" t="s">
        <v>141</v>
      </c>
      <c r="G37" s="35" t="s">
        <v>142</v>
      </c>
      <c r="H37" s="34" t="s">
        <v>143</v>
      </c>
      <c r="I37" s="35" t="str">
        <f>IF(Setup!C42&lt;&gt;"",Setup!C42,Setup!B42)</f>
        <v>Group Stages</v>
      </c>
    </row>
    <row r="38" spans="1:20" x14ac:dyDescent="0.25">
      <c r="A38" s="34">
        <v>37</v>
      </c>
      <c r="B38" s="35" t="str">
        <f>Setup!B43</f>
        <v>Matches</v>
      </c>
      <c r="C38" s="34" t="s">
        <v>10</v>
      </c>
      <c r="D38" s="35" t="s">
        <v>144</v>
      </c>
      <c r="E38" s="35" t="s">
        <v>145</v>
      </c>
      <c r="F38" s="35" t="s">
        <v>146</v>
      </c>
      <c r="G38" s="35" t="s">
        <v>147</v>
      </c>
      <c r="H38" s="35" t="s">
        <v>148</v>
      </c>
      <c r="I38" s="35" t="str">
        <f>IF(Setup!C43&lt;&gt;"",Setup!C43,Setup!B43)</f>
        <v>Matches</v>
      </c>
    </row>
    <row r="39" spans="1:20" x14ac:dyDescent="0.25">
      <c r="A39" s="34">
        <v>38</v>
      </c>
      <c r="B39" s="35" t="str">
        <f>Setup!B44</f>
        <v>Standings</v>
      </c>
      <c r="C39" s="34" t="s">
        <v>11</v>
      </c>
      <c r="D39" s="35" t="s">
        <v>149</v>
      </c>
      <c r="E39" s="35" t="s">
        <v>150</v>
      </c>
      <c r="F39" s="35" t="s">
        <v>151</v>
      </c>
      <c r="G39" s="35" t="s">
        <v>152</v>
      </c>
      <c r="H39" s="34" t="s">
        <v>153</v>
      </c>
      <c r="I39" s="35" t="str">
        <f>IF(Setup!C44&lt;&gt;"",Setup!C44,Setup!B44)</f>
        <v>Standings</v>
      </c>
    </row>
    <row r="40" spans="1:20" x14ac:dyDescent="0.25">
      <c r="A40" s="34">
        <v>39</v>
      </c>
      <c r="B40" s="35" t="str">
        <f>Setup!B45</f>
        <v>Group</v>
      </c>
      <c r="C40" s="34" t="s">
        <v>12</v>
      </c>
      <c r="D40" s="35" t="s">
        <v>154</v>
      </c>
      <c r="E40" s="35" t="s">
        <v>155</v>
      </c>
      <c r="F40" s="35" t="s">
        <v>156</v>
      </c>
      <c r="G40" s="35" t="s">
        <v>157</v>
      </c>
      <c r="H40" s="34" t="s">
        <v>157</v>
      </c>
      <c r="I40" s="35" t="str">
        <f>IF(Setup!C45&lt;&gt;"",Setup!C45,Setup!B45)</f>
        <v>Group</v>
      </c>
    </row>
    <row r="41" spans="1:20" x14ac:dyDescent="0.25">
      <c r="A41" s="34">
        <v>40</v>
      </c>
      <c r="B41" s="35" t="str">
        <f>Setup!B46</f>
        <v>Date</v>
      </c>
      <c r="C41" s="34" t="s">
        <v>13</v>
      </c>
      <c r="D41" s="35" t="s">
        <v>13</v>
      </c>
      <c r="E41" s="35" t="s">
        <v>158</v>
      </c>
      <c r="F41" s="35" t="s">
        <v>159</v>
      </c>
      <c r="G41" s="35" t="s">
        <v>159</v>
      </c>
      <c r="H41" s="34" t="s">
        <v>160</v>
      </c>
      <c r="I41" s="35" t="str">
        <f>IF(Setup!C46&lt;&gt;"",Setup!C46,Setup!B46)</f>
        <v>Date</v>
      </c>
    </row>
    <row r="42" spans="1:20" x14ac:dyDescent="0.25">
      <c r="A42" s="34">
        <v>41</v>
      </c>
      <c r="B42" s="35" t="str">
        <f>Setup!B47</f>
        <v>Country</v>
      </c>
      <c r="C42" s="34" t="s">
        <v>14</v>
      </c>
      <c r="D42" s="35" t="s">
        <v>161</v>
      </c>
      <c r="E42" s="35" t="s">
        <v>162</v>
      </c>
      <c r="F42" s="35" t="s">
        <v>163</v>
      </c>
      <c r="G42" s="35" t="s">
        <v>164</v>
      </c>
      <c r="H42" s="34" t="s">
        <v>164</v>
      </c>
      <c r="I42" s="35" t="str">
        <f>IF(Setup!C47&lt;&gt;"",Setup!C47,Setup!B47)</f>
        <v>Country</v>
      </c>
    </row>
    <row r="43" spans="1:20" x14ac:dyDescent="0.25">
      <c r="A43" s="34">
        <v>42</v>
      </c>
      <c r="B43" s="35" t="str">
        <f>Setup!B48</f>
        <v>Score</v>
      </c>
      <c r="C43" s="34" t="s">
        <v>15</v>
      </c>
      <c r="D43" s="35" t="s">
        <v>15</v>
      </c>
      <c r="E43" s="35" t="s">
        <v>165</v>
      </c>
      <c r="F43" s="35" t="s">
        <v>166</v>
      </c>
      <c r="G43" s="35" t="s">
        <v>167</v>
      </c>
      <c r="H43" s="34" t="s">
        <v>167</v>
      </c>
      <c r="I43" s="35" t="str">
        <f>IF(Setup!C48&lt;&gt;"",Setup!C48,Setup!B48)</f>
        <v>Score</v>
      </c>
    </row>
    <row r="44" spans="1:20" x14ac:dyDescent="0.25">
      <c r="A44" s="34">
        <v>43</v>
      </c>
      <c r="B44" s="35" t="str">
        <f>Setup!B49</f>
        <v>Time</v>
      </c>
      <c r="C44" s="34" t="s">
        <v>16</v>
      </c>
      <c r="D44" s="35" t="s">
        <v>168</v>
      </c>
      <c r="E44" s="35" t="s">
        <v>169</v>
      </c>
      <c r="F44" s="35" t="s">
        <v>170</v>
      </c>
      <c r="G44" s="35" t="s">
        <v>171</v>
      </c>
      <c r="H44" s="34" t="s">
        <v>172</v>
      </c>
      <c r="I44" s="35" t="str">
        <f>IF(Setup!C49&lt;&gt;"",Setup!C49,Setup!B49)</f>
        <v>Time</v>
      </c>
    </row>
    <row r="45" spans="1:20" x14ac:dyDescent="0.25">
      <c r="A45" s="34">
        <v>44</v>
      </c>
      <c r="B45" s="35" t="str">
        <f>Setup!B50</f>
        <v>Round of 16</v>
      </c>
      <c r="C45" s="34" t="s">
        <v>17</v>
      </c>
      <c r="D45" s="35" t="s">
        <v>173</v>
      </c>
      <c r="E45" s="35" t="s">
        <v>174</v>
      </c>
      <c r="F45" s="35" t="s">
        <v>175</v>
      </c>
      <c r="G45" s="35" t="s">
        <v>176</v>
      </c>
      <c r="H45" s="34" t="s">
        <v>177</v>
      </c>
      <c r="I45" s="35" t="str">
        <f>IF(Setup!C50&lt;&gt;"",Setup!C50,Setup!B50)</f>
        <v>Round of 16</v>
      </c>
    </row>
    <row r="46" spans="1:20" x14ac:dyDescent="0.25">
      <c r="A46" s="34">
        <v>45</v>
      </c>
      <c r="B46" s="35" t="str">
        <f>Setup!B51</f>
        <v>Quarter Finals</v>
      </c>
      <c r="C46" s="34" t="s">
        <v>18</v>
      </c>
      <c r="D46" s="35" t="s">
        <v>178</v>
      </c>
      <c r="E46" s="35" t="s">
        <v>179</v>
      </c>
      <c r="F46" s="35" t="s">
        <v>180</v>
      </c>
      <c r="G46" s="35" t="s">
        <v>181</v>
      </c>
      <c r="H46" s="34" t="s">
        <v>182</v>
      </c>
      <c r="I46" s="35" t="str">
        <f>IF(Setup!C51&lt;&gt;"",Setup!C51,Setup!B51)</f>
        <v>Quarter Finals</v>
      </c>
    </row>
    <row r="47" spans="1:20" x14ac:dyDescent="0.25">
      <c r="A47" s="34">
        <v>46</v>
      </c>
      <c r="B47" s="35" t="str">
        <f>Setup!B52</f>
        <v>Semi Finals</v>
      </c>
      <c r="C47" s="34" t="s">
        <v>19</v>
      </c>
      <c r="D47" s="35" t="s">
        <v>183</v>
      </c>
      <c r="E47" s="35" t="s">
        <v>184</v>
      </c>
      <c r="F47" s="35" t="s">
        <v>185</v>
      </c>
      <c r="G47" s="35" t="s">
        <v>186</v>
      </c>
      <c r="H47" s="34" t="s">
        <v>187</v>
      </c>
      <c r="I47" s="35" t="str">
        <f>IF(Setup!C52&lt;&gt;"",Setup!C52,Setup!B52)</f>
        <v>Semi Finals</v>
      </c>
    </row>
    <row r="48" spans="1:20" x14ac:dyDescent="0.25">
      <c r="A48" s="34">
        <v>47</v>
      </c>
      <c r="B48" s="35" t="str">
        <f>Setup!B53</f>
        <v>Third Place</v>
      </c>
      <c r="C48" s="34" t="s">
        <v>20</v>
      </c>
      <c r="D48" s="35"/>
      <c r="E48" s="35"/>
      <c r="F48" s="35"/>
      <c r="G48" s="35"/>
      <c r="H48" s="34"/>
      <c r="I48" s="35" t="str">
        <f>IF(Setup!C53&lt;&gt;"",Setup!C53,Setup!B53)</f>
        <v>Third Place</v>
      </c>
    </row>
    <row r="49" spans="1:9" x14ac:dyDescent="0.25">
      <c r="A49" s="34">
        <v>48</v>
      </c>
      <c r="B49" s="35" t="str">
        <f>Setup!B54</f>
        <v>Final</v>
      </c>
      <c r="C49" s="34" t="s">
        <v>21</v>
      </c>
      <c r="D49" s="35" t="s">
        <v>188</v>
      </c>
      <c r="E49" s="35" t="s">
        <v>188</v>
      </c>
      <c r="F49" s="35" t="s">
        <v>188</v>
      </c>
      <c r="G49" s="35" t="s">
        <v>21</v>
      </c>
      <c r="H49" s="34" t="s">
        <v>21</v>
      </c>
      <c r="I49" s="35" t="str">
        <f>IF(Setup!C54&lt;&gt;"",Setup!C54,Setup!B54)</f>
        <v>Final</v>
      </c>
    </row>
    <row r="50" spans="1:9" x14ac:dyDescent="0.25">
      <c r="A50" s="34">
        <v>49</v>
      </c>
      <c r="B50" s="35" t="str">
        <f>Setup!B55</f>
        <v>Winner</v>
      </c>
      <c r="C50" s="34" t="s">
        <v>22</v>
      </c>
      <c r="D50" s="35" t="s">
        <v>189</v>
      </c>
      <c r="E50" s="35" t="s">
        <v>190</v>
      </c>
      <c r="F50" s="35" t="s">
        <v>191</v>
      </c>
      <c r="G50" s="35" t="s">
        <v>192</v>
      </c>
      <c r="H50" s="34" t="s">
        <v>193</v>
      </c>
      <c r="I50" s="35" t="str">
        <f>IF(Setup!C55&lt;&gt;"",Setup!C55,Setup!B55)</f>
        <v>Winner</v>
      </c>
    </row>
    <row r="51" spans="1:9" x14ac:dyDescent="0.25">
      <c r="A51" s="34">
        <v>50</v>
      </c>
      <c r="B51" s="35" t="str">
        <f>Setup!B56</f>
        <v>Runner Up</v>
      </c>
      <c r="C51" s="34" t="s">
        <v>23</v>
      </c>
      <c r="D51" s="35" t="s">
        <v>194</v>
      </c>
      <c r="E51" s="35" t="s">
        <v>195</v>
      </c>
      <c r="F51" s="35" t="s">
        <v>196</v>
      </c>
      <c r="G51" s="35" t="s">
        <v>197</v>
      </c>
      <c r="H51" s="34" t="s">
        <v>198</v>
      </c>
      <c r="I51" s="35" t="str">
        <f>IF(Setup!C56&lt;&gt;"",Setup!C56,Setup!B56)</f>
        <v>Runner Up</v>
      </c>
    </row>
    <row r="52" spans="1:9" x14ac:dyDescent="0.25">
      <c r="A52" s="34">
        <v>51</v>
      </c>
      <c r="B52" s="35" t="str">
        <f>Setup!B57</f>
        <v>Normal Time</v>
      </c>
      <c r="C52" s="34" t="s">
        <v>24</v>
      </c>
      <c r="D52" s="35" t="s">
        <v>199</v>
      </c>
      <c r="E52" s="35" t="s">
        <v>200</v>
      </c>
      <c r="F52" s="35" t="s">
        <v>201</v>
      </c>
      <c r="G52" s="35" t="s">
        <v>202</v>
      </c>
      <c r="H52" s="34" t="s">
        <v>203</v>
      </c>
      <c r="I52" s="35" t="str">
        <f>IF(Setup!C57&lt;&gt;"",Setup!C57,Setup!B57)</f>
        <v>Normal Time</v>
      </c>
    </row>
    <row r="53" spans="1:9" x14ac:dyDescent="0.25">
      <c r="A53" s="34">
        <v>52</v>
      </c>
      <c r="B53" s="35" t="s">
        <v>495</v>
      </c>
      <c r="C53" s="35" t="s">
        <v>495</v>
      </c>
      <c r="D53" s="35"/>
      <c r="E53" s="35"/>
      <c r="F53" s="35"/>
      <c r="G53" s="35"/>
      <c r="H53" s="34"/>
      <c r="I53" s="35" t="str">
        <f>IF(Setup!C58&lt;&gt;"",Setup!C58,Setup!B58)</f>
        <v>Knock Out Rounds</v>
      </c>
    </row>
    <row r="54" spans="1:9" x14ac:dyDescent="0.25">
      <c r="A54" s="34">
        <v>53</v>
      </c>
      <c r="B54" s="35" t="str">
        <f>Setup!B59</f>
        <v>Penalty Shoot Out</v>
      </c>
      <c r="C54" s="34" t="s">
        <v>25</v>
      </c>
      <c r="D54" s="35" t="s">
        <v>204</v>
      </c>
      <c r="E54" s="35" t="s">
        <v>205</v>
      </c>
      <c r="F54" s="35" t="s">
        <v>206</v>
      </c>
      <c r="G54" s="35" t="s">
        <v>207</v>
      </c>
      <c r="H54" s="34" t="s">
        <v>208</v>
      </c>
      <c r="I54" s="35" t="str">
        <f>IF(Setup!C59&lt;&gt;"",Setup!C59,Setup!B59)</f>
        <v>Penalty Shoot Out</v>
      </c>
    </row>
    <row r="55" spans="1:9" x14ac:dyDescent="0.25">
      <c r="A55" s="34">
        <v>54</v>
      </c>
      <c r="B55" s="35" t="str">
        <f>Setup!B60</f>
        <v>Champion</v>
      </c>
      <c r="C55" s="34" t="s">
        <v>26</v>
      </c>
      <c r="D55" s="35" t="s">
        <v>26</v>
      </c>
      <c r="E55" s="35" t="s">
        <v>209</v>
      </c>
      <c r="F55" s="35" t="s">
        <v>210</v>
      </c>
      <c r="G55" s="35" t="s">
        <v>211</v>
      </c>
      <c r="H55" s="34" t="s">
        <v>212</v>
      </c>
      <c r="I55" s="35" t="str">
        <f>IF(Setup!C60&lt;&gt;"",Setup!C60,Setup!B60)</f>
        <v>Champion</v>
      </c>
    </row>
    <row r="56" spans="1:9" x14ac:dyDescent="0.25">
      <c r="A56" s="34">
        <v>55</v>
      </c>
      <c r="B56" s="35" t="str">
        <f>Setup!B61</f>
        <v>Match #</v>
      </c>
      <c r="C56" s="34" t="s">
        <v>27</v>
      </c>
      <c r="D56" s="35" t="s">
        <v>27</v>
      </c>
      <c r="E56" s="35" t="s">
        <v>213</v>
      </c>
      <c r="F56" s="35" t="s">
        <v>214</v>
      </c>
      <c r="G56" s="35" t="s">
        <v>215</v>
      </c>
      <c r="H56" s="34" t="s">
        <v>216</v>
      </c>
      <c r="I56" s="35" t="str">
        <f>IF(Setup!C61&lt;&gt;"",Setup!C61,Setup!B61)</f>
        <v>Match #</v>
      </c>
    </row>
    <row r="57" spans="1:9" x14ac:dyDescent="0.25">
      <c r="A57" s="34">
        <v>56</v>
      </c>
      <c r="B57" s="35" t="str">
        <f>Setup!B62</f>
        <v>Group A Winner</v>
      </c>
      <c r="C57" s="34" t="s">
        <v>28</v>
      </c>
      <c r="D57" s="35" t="s">
        <v>217</v>
      </c>
      <c r="E57" s="35" t="s">
        <v>218</v>
      </c>
      <c r="F57" s="35" t="s">
        <v>219</v>
      </c>
      <c r="G57" s="35" t="s">
        <v>220</v>
      </c>
      <c r="H57" s="34" t="s">
        <v>221</v>
      </c>
      <c r="I57" s="35" t="str">
        <f>IF(Setup!C62&lt;&gt;"",Setup!C62,Setup!B62)</f>
        <v>Group A Winner</v>
      </c>
    </row>
    <row r="58" spans="1:9" x14ac:dyDescent="0.25">
      <c r="A58" s="34">
        <v>57</v>
      </c>
      <c r="B58" s="35" t="str">
        <f>Setup!B63</f>
        <v>Group B Winner</v>
      </c>
      <c r="C58" s="34" t="s">
        <v>29</v>
      </c>
      <c r="D58" s="35" t="s">
        <v>222</v>
      </c>
      <c r="E58" s="35" t="s">
        <v>223</v>
      </c>
      <c r="F58" s="35" t="s">
        <v>224</v>
      </c>
      <c r="G58" s="35" t="s">
        <v>225</v>
      </c>
      <c r="H58" s="34" t="s">
        <v>226</v>
      </c>
      <c r="I58" s="35" t="str">
        <f>IF(Setup!C63&lt;&gt;"",Setup!C63,Setup!B63)</f>
        <v>Group B Winner</v>
      </c>
    </row>
    <row r="59" spans="1:9" x14ac:dyDescent="0.25">
      <c r="A59" s="34">
        <v>58</v>
      </c>
      <c r="B59" s="35" t="str">
        <f>Setup!B64</f>
        <v>Group C Winner</v>
      </c>
      <c r="C59" s="34" t="s">
        <v>30</v>
      </c>
      <c r="D59" s="35" t="s">
        <v>227</v>
      </c>
      <c r="E59" s="35" t="s">
        <v>228</v>
      </c>
      <c r="F59" s="35" t="s">
        <v>229</v>
      </c>
      <c r="G59" s="35" t="s">
        <v>230</v>
      </c>
      <c r="H59" s="34" t="s">
        <v>231</v>
      </c>
      <c r="I59" s="35" t="str">
        <f>IF(Setup!C64&lt;&gt;"",Setup!C64,Setup!B64)</f>
        <v>Group C Winner</v>
      </c>
    </row>
    <row r="60" spans="1:9" x14ac:dyDescent="0.25">
      <c r="A60" s="34">
        <v>59</v>
      </c>
      <c r="B60" s="35" t="str">
        <f>Setup!B65</f>
        <v>Group D Winner</v>
      </c>
      <c r="C60" s="34" t="s">
        <v>31</v>
      </c>
      <c r="D60" s="35" t="s">
        <v>232</v>
      </c>
      <c r="E60" s="35" t="s">
        <v>233</v>
      </c>
      <c r="F60" s="35" t="s">
        <v>234</v>
      </c>
      <c r="G60" s="35" t="s">
        <v>235</v>
      </c>
      <c r="H60" s="34" t="s">
        <v>236</v>
      </c>
      <c r="I60" s="35" t="str">
        <f>IF(Setup!C65&lt;&gt;"",Setup!C65,Setup!B65)</f>
        <v>Group D Winner</v>
      </c>
    </row>
    <row r="61" spans="1:9" x14ac:dyDescent="0.25">
      <c r="A61" s="34">
        <v>60</v>
      </c>
      <c r="B61" s="35" t="str">
        <f>Setup!B66</f>
        <v>Group E Winner</v>
      </c>
      <c r="C61" s="34" t="s">
        <v>32</v>
      </c>
      <c r="D61" s="35" t="s">
        <v>237</v>
      </c>
      <c r="E61" s="35" t="s">
        <v>238</v>
      </c>
      <c r="F61" s="35" t="s">
        <v>239</v>
      </c>
      <c r="G61" s="35" t="s">
        <v>240</v>
      </c>
      <c r="H61" s="34" t="s">
        <v>241</v>
      </c>
      <c r="I61" s="35" t="str">
        <f>IF(Setup!C66&lt;&gt;"",Setup!C66,Setup!B66)</f>
        <v>Group E Winner</v>
      </c>
    </row>
    <row r="62" spans="1:9" x14ac:dyDescent="0.25">
      <c r="A62" s="34">
        <v>61</v>
      </c>
      <c r="B62" s="35" t="str">
        <f>Setup!B67</f>
        <v>Group F Winner</v>
      </c>
      <c r="C62" s="34" t="s">
        <v>33</v>
      </c>
      <c r="D62" s="35" t="s">
        <v>242</v>
      </c>
      <c r="E62" s="35" t="s">
        <v>243</v>
      </c>
      <c r="F62" s="35" t="s">
        <v>244</v>
      </c>
      <c r="G62" s="35" t="s">
        <v>245</v>
      </c>
      <c r="H62" s="34" t="s">
        <v>246</v>
      </c>
      <c r="I62" s="35" t="str">
        <f>IF(Setup!C67&lt;&gt;"",Setup!C67,Setup!B67)</f>
        <v>Group F Winner</v>
      </c>
    </row>
    <row r="63" spans="1:9" x14ac:dyDescent="0.25">
      <c r="A63" s="34">
        <v>62</v>
      </c>
      <c r="B63" s="35" t="str">
        <f>Setup!B68</f>
        <v>Group G Winner</v>
      </c>
      <c r="C63" s="34" t="s">
        <v>34</v>
      </c>
      <c r="D63" s="35" t="s">
        <v>247</v>
      </c>
      <c r="E63" s="35" t="s">
        <v>248</v>
      </c>
      <c r="F63" s="35" t="s">
        <v>249</v>
      </c>
      <c r="G63" s="35" t="s">
        <v>250</v>
      </c>
      <c r="H63" s="34" t="s">
        <v>251</v>
      </c>
      <c r="I63" s="35" t="str">
        <f>IF(Setup!C68&lt;&gt;"",Setup!C68,Setup!B68)</f>
        <v>Group G Winner</v>
      </c>
    </row>
    <row r="64" spans="1:9" x14ac:dyDescent="0.25">
      <c r="A64" s="34">
        <v>63</v>
      </c>
      <c r="B64" s="35" t="str">
        <f>Setup!B69</f>
        <v>Group H Winner</v>
      </c>
      <c r="C64" s="34" t="s">
        <v>35</v>
      </c>
      <c r="D64" s="35" t="s">
        <v>252</v>
      </c>
      <c r="E64" s="35" t="s">
        <v>253</v>
      </c>
      <c r="F64" s="35" t="s">
        <v>254</v>
      </c>
      <c r="G64" s="35" t="s">
        <v>255</v>
      </c>
      <c r="H64" s="34" t="s">
        <v>256</v>
      </c>
      <c r="I64" s="35" t="str">
        <f>IF(Setup!C69&lt;&gt;"",Setup!C69,Setup!B69)</f>
        <v>Group H Winner</v>
      </c>
    </row>
    <row r="65" spans="1:9" x14ac:dyDescent="0.25">
      <c r="A65" s="34">
        <v>64</v>
      </c>
      <c r="B65" s="35" t="str">
        <f>Setup!B70</f>
        <v>Group A Runner Up</v>
      </c>
      <c r="C65" s="34" t="s">
        <v>36</v>
      </c>
      <c r="D65" s="35" t="s">
        <v>257</v>
      </c>
      <c r="E65" s="35" t="s">
        <v>258</v>
      </c>
      <c r="F65" s="35" t="s">
        <v>259</v>
      </c>
      <c r="G65" s="35" t="s">
        <v>260</v>
      </c>
      <c r="H65" s="34" t="s">
        <v>261</v>
      </c>
      <c r="I65" s="35" t="str">
        <f>IF(Setup!C70&lt;&gt;"",Setup!C70,Setup!B70)</f>
        <v>Group A Runner Up</v>
      </c>
    </row>
    <row r="66" spans="1:9" x14ac:dyDescent="0.25">
      <c r="A66" s="34">
        <v>65</v>
      </c>
      <c r="B66" s="35" t="str">
        <f>Setup!B71</f>
        <v>Group B Runner Up</v>
      </c>
      <c r="C66" s="34" t="s">
        <v>37</v>
      </c>
      <c r="D66" s="35" t="s">
        <v>262</v>
      </c>
      <c r="E66" s="35" t="s">
        <v>263</v>
      </c>
      <c r="F66" s="35" t="s">
        <v>264</v>
      </c>
      <c r="G66" s="35" t="s">
        <v>265</v>
      </c>
      <c r="H66" s="34" t="s">
        <v>266</v>
      </c>
      <c r="I66" s="35" t="str">
        <f>IF(Setup!C71&lt;&gt;"",Setup!C71,Setup!B71)</f>
        <v>Group B Runner Up</v>
      </c>
    </row>
    <row r="67" spans="1:9" x14ac:dyDescent="0.25">
      <c r="A67" s="34">
        <v>66</v>
      </c>
      <c r="B67" s="35" t="str">
        <f>Setup!B72</f>
        <v>Group C Runner Up</v>
      </c>
      <c r="C67" s="34" t="s">
        <v>38</v>
      </c>
      <c r="D67" s="35" t="s">
        <v>267</v>
      </c>
      <c r="E67" s="35" t="s">
        <v>268</v>
      </c>
      <c r="F67" s="35" t="s">
        <v>269</v>
      </c>
      <c r="G67" s="35" t="s">
        <v>270</v>
      </c>
      <c r="H67" s="34" t="s">
        <v>271</v>
      </c>
      <c r="I67" s="35" t="str">
        <f>IF(Setup!C72&lt;&gt;"",Setup!C72,Setup!B72)</f>
        <v>Group C Runner Up</v>
      </c>
    </row>
    <row r="68" spans="1:9" x14ac:dyDescent="0.25">
      <c r="A68" s="34">
        <v>67</v>
      </c>
      <c r="B68" s="35" t="str">
        <f>Setup!B73</f>
        <v>Group D Runner Up</v>
      </c>
      <c r="C68" s="34" t="s">
        <v>39</v>
      </c>
      <c r="D68" s="35" t="s">
        <v>272</v>
      </c>
      <c r="E68" s="35" t="s">
        <v>273</v>
      </c>
      <c r="F68" s="35" t="s">
        <v>274</v>
      </c>
      <c r="G68" s="35" t="s">
        <v>275</v>
      </c>
      <c r="H68" s="34" t="s">
        <v>276</v>
      </c>
      <c r="I68" s="35" t="str">
        <f>IF(Setup!C73&lt;&gt;"",Setup!C73,Setup!B73)</f>
        <v>Group D Runner Up</v>
      </c>
    </row>
    <row r="69" spans="1:9" x14ac:dyDescent="0.25">
      <c r="A69" s="34">
        <v>68</v>
      </c>
      <c r="B69" s="35" t="str">
        <f>Setup!B74</f>
        <v>Group E Runner Up</v>
      </c>
      <c r="C69" s="34" t="s">
        <v>40</v>
      </c>
      <c r="D69" s="35" t="s">
        <v>277</v>
      </c>
      <c r="E69" s="35" t="s">
        <v>278</v>
      </c>
      <c r="F69" s="35" t="s">
        <v>279</v>
      </c>
      <c r="G69" s="35" t="s">
        <v>280</v>
      </c>
      <c r="H69" s="34" t="s">
        <v>281</v>
      </c>
      <c r="I69" s="35" t="str">
        <f>IF(Setup!C74&lt;&gt;"",Setup!C74,Setup!B74)</f>
        <v>Group E Runner Up</v>
      </c>
    </row>
    <row r="70" spans="1:9" x14ac:dyDescent="0.25">
      <c r="A70" s="34">
        <v>69</v>
      </c>
      <c r="B70" s="35" t="str">
        <f>Setup!B75</f>
        <v>Group F Runner Up</v>
      </c>
      <c r="C70" s="34" t="s">
        <v>41</v>
      </c>
      <c r="D70" s="35" t="s">
        <v>282</v>
      </c>
      <c r="E70" s="35" t="s">
        <v>283</v>
      </c>
      <c r="F70" s="35" t="s">
        <v>284</v>
      </c>
      <c r="G70" s="35" t="s">
        <v>285</v>
      </c>
      <c r="H70" s="34" t="s">
        <v>286</v>
      </c>
      <c r="I70" s="35" t="str">
        <f>IF(Setup!C75&lt;&gt;"",Setup!C75,Setup!B75)</f>
        <v>Group F Runner Up</v>
      </c>
    </row>
    <row r="71" spans="1:9" x14ac:dyDescent="0.25">
      <c r="A71" s="34">
        <v>70</v>
      </c>
      <c r="B71" s="35" t="str">
        <f>Setup!B76</f>
        <v>Group G Runner Up</v>
      </c>
      <c r="C71" s="34" t="s">
        <v>42</v>
      </c>
      <c r="D71" s="35" t="s">
        <v>287</v>
      </c>
      <c r="E71" s="35" t="s">
        <v>288</v>
      </c>
      <c r="F71" s="35" t="s">
        <v>289</v>
      </c>
      <c r="G71" s="35" t="s">
        <v>290</v>
      </c>
      <c r="H71" s="34" t="s">
        <v>291</v>
      </c>
      <c r="I71" s="35" t="str">
        <f>IF(Setup!C76&lt;&gt;"",Setup!C76,Setup!B76)</f>
        <v>Group G Runner Up</v>
      </c>
    </row>
    <row r="72" spans="1:9" x14ac:dyDescent="0.25">
      <c r="A72" s="34">
        <v>71</v>
      </c>
      <c r="B72" s="35" t="str">
        <f>Setup!B77</f>
        <v>Group H Runner Up</v>
      </c>
      <c r="C72" s="34" t="s">
        <v>43</v>
      </c>
      <c r="D72" s="35" t="s">
        <v>292</v>
      </c>
      <c r="E72" s="35" t="s">
        <v>293</v>
      </c>
      <c r="F72" s="35" t="s">
        <v>294</v>
      </c>
      <c r="G72" s="35" t="s">
        <v>295</v>
      </c>
      <c r="H72" s="34" t="s">
        <v>296</v>
      </c>
      <c r="I72" s="35" t="str">
        <f>IF(Setup!C77&lt;&gt;"",Setup!C77,Setup!B77)</f>
        <v>Group H Runner Up</v>
      </c>
    </row>
    <row r="73" spans="1:9" x14ac:dyDescent="0.25">
      <c r="A73" s="34">
        <v>72</v>
      </c>
      <c r="B73" s="35" t="str">
        <f>Setup!B78</f>
        <v>Match 53 Winner</v>
      </c>
      <c r="C73" s="34" t="s">
        <v>44</v>
      </c>
      <c r="D73" s="35" t="s">
        <v>297</v>
      </c>
      <c r="E73" s="35" t="s">
        <v>298</v>
      </c>
      <c r="F73" s="35" t="s">
        <v>299</v>
      </c>
      <c r="G73" s="35" t="s">
        <v>300</v>
      </c>
      <c r="H73" s="34" t="s">
        <v>301</v>
      </c>
      <c r="I73" s="35" t="str">
        <f>IF(Setup!C78&lt;&gt;"",Setup!C78,Setup!B78)</f>
        <v>Match 53 Winner</v>
      </c>
    </row>
    <row r="74" spans="1:9" x14ac:dyDescent="0.25">
      <c r="A74" s="34">
        <v>73</v>
      </c>
      <c r="B74" s="35" t="str">
        <f>Setup!B79</f>
        <v>Match 54 Winner</v>
      </c>
      <c r="C74" s="34" t="s">
        <v>45</v>
      </c>
      <c r="D74" s="35" t="s">
        <v>302</v>
      </c>
      <c r="E74" s="35" t="s">
        <v>303</v>
      </c>
      <c r="F74" s="35" t="s">
        <v>304</v>
      </c>
      <c r="G74" s="35" t="s">
        <v>305</v>
      </c>
      <c r="H74" s="34" t="s">
        <v>306</v>
      </c>
      <c r="I74" s="35" t="str">
        <f>IF(Setup!C79&lt;&gt;"",Setup!C79,Setup!B79)</f>
        <v>Match 54 Winner</v>
      </c>
    </row>
    <row r="75" spans="1:9" x14ac:dyDescent="0.25">
      <c r="A75" s="34">
        <v>74</v>
      </c>
      <c r="B75" s="35" t="str">
        <f>Setup!B80</f>
        <v>Match 55 Winner</v>
      </c>
      <c r="C75" s="34" t="s">
        <v>46</v>
      </c>
      <c r="D75" s="35" t="s">
        <v>307</v>
      </c>
      <c r="E75" s="35" t="s">
        <v>308</v>
      </c>
      <c r="F75" s="35" t="s">
        <v>309</v>
      </c>
      <c r="G75" s="35" t="s">
        <v>310</v>
      </c>
      <c r="H75" s="34" t="s">
        <v>311</v>
      </c>
      <c r="I75" s="35" t="str">
        <f>IF(Setup!C80&lt;&gt;"",Setup!C80,Setup!B80)</f>
        <v>Match 55 Winner</v>
      </c>
    </row>
    <row r="76" spans="1:9" x14ac:dyDescent="0.25">
      <c r="A76" s="34">
        <v>75</v>
      </c>
      <c r="B76" s="35" t="str">
        <f>Setup!B81</f>
        <v>Match 56 Winner</v>
      </c>
      <c r="C76" s="34" t="s">
        <v>47</v>
      </c>
      <c r="D76" s="35" t="s">
        <v>312</v>
      </c>
      <c r="E76" s="35" t="s">
        <v>313</v>
      </c>
      <c r="F76" s="35" t="s">
        <v>314</v>
      </c>
      <c r="G76" s="35" t="s">
        <v>315</v>
      </c>
      <c r="H76" s="34" t="s">
        <v>316</v>
      </c>
      <c r="I76" s="35" t="str">
        <f>IF(Setup!C81&lt;&gt;"",Setup!C81,Setup!B81)</f>
        <v>Match 56 Winner</v>
      </c>
    </row>
    <row r="77" spans="1:9" x14ac:dyDescent="0.25">
      <c r="A77" s="34">
        <v>76</v>
      </c>
      <c r="B77" s="35" t="str">
        <f>Setup!B82</f>
        <v>Match 57 Winner</v>
      </c>
      <c r="C77" s="34" t="s">
        <v>48</v>
      </c>
      <c r="D77" s="35" t="s">
        <v>317</v>
      </c>
      <c r="E77" s="35" t="s">
        <v>318</v>
      </c>
      <c r="F77" s="35" t="s">
        <v>319</v>
      </c>
      <c r="G77" s="35" t="s">
        <v>320</v>
      </c>
      <c r="H77" s="34" t="s">
        <v>321</v>
      </c>
      <c r="I77" s="35" t="str">
        <f>IF(Setup!C82&lt;&gt;"",Setup!C82,Setup!B82)</f>
        <v>Match 57 Winner</v>
      </c>
    </row>
    <row r="78" spans="1:9" x14ac:dyDescent="0.25">
      <c r="A78" s="34">
        <v>77</v>
      </c>
      <c r="B78" s="35" t="str">
        <f>Setup!B83</f>
        <v>Match 58 Winner</v>
      </c>
      <c r="C78" s="34" t="s">
        <v>49</v>
      </c>
      <c r="D78" s="35" t="s">
        <v>322</v>
      </c>
      <c r="E78" s="35" t="s">
        <v>323</v>
      </c>
      <c r="F78" s="35" t="s">
        <v>324</v>
      </c>
      <c r="G78" s="35" t="s">
        <v>325</v>
      </c>
      <c r="H78" s="34" t="s">
        <v>326</v>
      </c>
      <c r="I78" s="35" t="str">
        <f>IF(Setup!C83&lt;&gt;"",Setup!C83,Setup!B83)</f>
        <v>Match 58 Winner</v>
      </c>
    </row>
    <row r="79" spans="1:9" x14ac:dyDescent="0.25">
      <c r="A79" s="34">
        <v>78</v>
      </c>
      <c r="B79" s="35" t="str">
        <f>Setup!B84</f>
        <v>Match 59 Winner</v>
      </c>
      <c r="C79" s="34" t="s">
        <v>50</v>
      </c>
      <c r="D79" s="35" t="s">
        <v>327</v>
      </c>
      <c r="E79" s="35" t="s">
        <v>328</v>
      </c>
      <c r="F79" s="35" t="s">
        <v>329</v>
      </c>
      <c r="G79" s="35" t="s">
        <v>330</v>
      </c>
      <c r="H79" s="34" t="s">
        <v>331</v>
      </c>
      <c r="I79" s="35" t="str">
        <f>IF(Setup!C84&lt;&gt;"",Setup!C84,Setup!B84)</f>
        <v>Match 59 Winner</v>
      </c>
    </row>
    <row r="80" spans="1:9" x14ac:dyDescent="0.25">
      <c r="A80" s="34">
        <v>79</v>
      </c>
      <c r="B80" s="35" t="str">
        <f>Setup!B85</f>
        <v>Match 60 Winner</v>
      </c>
      <c r="C80" s="34" t="s">
        <v>51</v>
      </c>
      <c r="D80" s="35" t="s">
        <v>332</v>
      </c>
      <c r="E80" s="35" t="s">
        <v>333</v>
      </c>
      <c r="F80" s="35" t="s">
        <v>334</v>
      </c>
      <c r="G80" s="35" t="s">
        <v>335</v>
      </c>
      <c r="H80" s="34" t="s">
        <v>336</v>
      </c>
      <c r="I80" s="35" t="str">
        <f>IF(Setup!C85&lt;&gt;"",Setup!C85,Setup!B85)</f>
        <v>Match 60 Winner</v>
      </c>
    </row>
    <row r="81" spans="1:9" x14ac:dyDescent="0.25">
      <c r="A81" s="34">
        <v>80</v>
      </c>
      <c r="B81" s="35" t="str">
        <f>Setup!B86</f>
        <v>Match 61 Winner</v>
      </c>
      <c r="C81" s="34" t="s">
        <v>52</v>
      </c>
      <c r="D81" s="35" t="s">
        <v>337</v>
      </c>
      <c r="E81" s="35" t="s">
        <v>338</v>
      </c>
      <c r="F81" s="35" t="s">
        <v>339</v>
      </c>
      <c r="G81" s="35" t="s">
        <v>340</v>
      </c>
      <c r="H81" s="34" t="s">
        <v>341</v>
      </c>
      <c r="I81" s="35" t="str">
        <f>IF(Setup!C86&lt;&gt;"",Setup!C86,Setup!B86)</f>
        <v>Match 61 Winner</v>
      </c>
    </row>
    <row r="82" spans="1:9" x14ac:dyDescent="0.25">
      <c r="A82" s="34">
        <v>81</v>
      </c>
      <c r="B82" s="35" t="str">
        <f>Setup!B87</f>
        <v>Match 62 Winner</v>
      </c>
      <c r="C82" s="34" t="s">
        <v>53</v>
      </c>
      <c r="D82" s="35" t="s">
        <v>342</v>
      </c>
      <c r="E82" s="35" t="s">
        <v>343</v>
      </c>
      <c r="F82" s="35" t="s">
        <v>344</v>
      </c>
      <c r="G82" s="35" t="s">
        <v>345</v>
      </c>
      <c r="H82" s="34" t="s">
        <v>346</v>
      </c>
      <c r="I82" s="35" t="str">
        <f>IF(Setup!C87&lt;&gt;"",Setup!C87,Setup!B87)</f>
        <v>Match 62 Winner</v>
      </c>
    </row>
    <row r="83" spans="1:9" x14ac:dyDescent="0.25">
      <c r="A83" s="34">
        <v>82</v>
      </c>
      <c r="B83" s="35" t="str">
        <f>Setup!B88</f>
        <v>Match 63 Winner</v>
      </c>
      <c r="C83" s="34" t="s">
        <v>54</v>
      </c>
      <c r="D83" s="35" t="s">
        <v>347</v>
      </c>
      <c r="E83" s="35" t="s">
        <v>348</v>
      </c>
      <c r="F83" s="35" t="s">
        <v>349</v>
      </c>
      <c r="G83" s="35" t="s">
        <v>350</v>
      </c>
      <c r="H83" s="34" t="s">
        <v>351</v>
      </c>
      <c r="I83" s="35" t="str">
        <f>IF(Setup!C88&lt;&gt;"",Setup!C88,Setup!B88)</f>
        <v>Match 63 Winner</v>
      </c>
    </row>
    <row r="84" spans="1:9" x14ac:dyDescent="0.25">
      <c r="A84" s="34">
        <v>83</v>
      </c>
      <c r="B84" s="35" t="str">
        <f>Setup!B89</f>
        <v>Match 64 Winner</v>
      </c>
      <c r="C84" s="34" t="s">
        <v>55</v>
      </c>
      <c r="D84" s="35" t="s">
        <v>352</v>
      </c>
      <c r="E84" s="35" t="s">
        <v>353</v>
      </c>
      <c r="F84" s="35" t="s">
        <v>354</v>
      </c>
      <c r="G84" s="35" t="s">
        <v>355</v>
      </c>
      <c r="H84" s="34" t="s">
        <v>356</v>
      </c>
      <c r="I84" s="35" t="str">
        <f>IF(Setup!C89&lt;&gt;"",Setup!C89,Setup!B89)</f>
        <v>Match 64 Winner</v>
      </c>
    </row>
    <row r="85" spans="1:9" x14ac:dyDescent="0.25">
      <c r="A85" s="34">
        <v>84</v>
      </c>
      <c r="B85" s="35" t="str">
        <f>Setup!B90</f>
        <v>Played</v>
      </c>
      <c r="C85" s="34" t="s">
        <v>56</v>
      </c>
      <c r="D85" s="35" t="s">
        <v>357</v>
      </c>
      <c r="E85" s="35" t="s">
        <v>145</v>
      </c>
      <c r="F85" s="35" t="s">
        <v>358</v>
      </c>
      <c r="G85" s="35" t="s">
        <v>147</v>
      </c>
      <c r="H85" s="34" t="s">
        <v>359</v>
      </c>
      <c r="I85" s="35" t="str">
        <f>IF(Setup!C90&lt;&gt;"",Setup!C90,Setup!B90)</f>
        <v>Played</v>
      </c>
    </row>
    <row r="86" spans="1:9" x14ac:dyDescent="0.25">
      <c r="A86" s="34">
        <v>85</v>
      </c>
      <c r="B86" s="35" t="str">
        <f>Setup!B91</f>
        <v>Win</v>
      </c>
      <c r="C86" s="34" t="s">
        <v>57</v>
      </c>
      <c r="D86" s="35" t="s">
        <v>360</v>
      </c>
      <c r="E86" s="35" t="s">
        <v>361</v>
      </c>
      <c r="F86" s="35" t="s">
        <v>362</v>
      </c>
      <c r="G86" s="35" t="s">
        <v>363</v>
      </c>
      <c r="H86" s="34" t="s">
        <v>364</v>
      </c>
      <c r="I86" s="35" t="str">
        <f>IF(Setup!C91&lt;&gt;"",Setup!C91,Setup!B91)</f>
        <v>Win</v>
      </c>
    </row>
    <row r="87" spans="1:9" x14ac:dyDescent="0.25">
      <c r="A87" s="34">
        <v>86</v>
      </c>
      <c r="B87" s="35" t="str">
        <f>Setup!B92</f>
        <v>Draw</v>
      </c>
      <c r="C87" s="34" t="s">
        <v>58</v>
      </c>
      <c r="D87" s="35" t="s">
        <v>365</v>
      </c>
      <c r="E87" s="35" t="s">
        <v>366</v>
      </c>
      <c r="F87" s="35" t="s">
        <v>367</v>
      </c>
      <c r="G87" s="35" t="s">
        <v>368</v>
      </c>
      <c r="H87" s="34" t="s">
        <v>369</v>
      </c>
      <c r="I87" s="35" t="str">
        <f>IF(Setup!C92&lt;&gt;"",Setup!C92,Setup!B92)</f>
        <v>Draw</v>
      </c>
    </row>
    <row r="88" spans="1:9" x14ac:dyDescent="0.25">
      <c r="A88" s="34">
        <v>87</v>
      </c>
      <c r="B88" s="35" t="str">
        <f>Setup!B93</f>
        <v>Lose</v>
      </c>
      <c r="C88" s="34" t="s">
        <v>59</v>
      </c>
      <c r="D88" s="35" t="s">
        <v>370</v>
      </c>
      <c r="E88" s="35" t="s">
        <v>371</v>
      </c>
      <c r="F88" s="35" t="s">
        <v>372</v>
      </c>
      <c r="G88" s="35" t="s">
        <v>373</v>
      </c>
      <c r="H88" s="34" t="s">
        <v>374</v>
      </c>
      <c r="I88" s="35" t="str">
        <f>IF(Setup!C93&lt;&gt;"",Setup!C93,Setup!B93)</f>
        <v>Lose</v>
      </c>
    </row>
    <row r="89" spans="1:9" x14ac:dyDescent="0.25">
      <c r="A89" s="34">
        <v>88</v>
      </c>
      <c r="B89" s="35" t="str">
        <f>Setup!B94</f>
        <v>Goal scored for</v>
      </c>
      <c r="C89" s="34" t="s">
        <v>60</v>
      </c>
      <c r="D89" s="35" t="s">
        <v>375</v>
      </c>
      <c r="E89" s="35" t="s">
        <v>376</v>
      </c>
      <c r="F89" s="35" t="s">
        <v>377</v>
      </c>
      <c r="G89" s="35" t="s">
        <v>378</v>
      </c>
      <c r="H89" s="34" t="s">
        <v>379</v>
      </c>
      <c r="I89" s="35" t="str">
        <f>IF(Setup!C94&lt;&gt;"",Setup!C94,Setup!B94)</f>
        <v>Goal scored for</v>
      </c>
    </row>
    <row r="90" spans="1:9" x14ac:dyDescent="0.25">
      <c r="A90" s="34">
        <v>89</v>
      </c>
      <c r="B90" s="35" t="str">
        <f>Setup!B95</f>
        <v>Goal scored against</v>
      </c>
      <c r="C90" s="34" t="s">
        <v>61</v>
      </c>
      <c r="D90" s="35" t="s">
        <v>380</v>
      </c>
      <c r="E90" s="35" t="s">
        <v>381</v>
      </c>
      <c r="F90" s="35" t="s">
        <v>382</v>
      </c>
      <c r="G90" s="35" t="s">
        <v>383</v>
      </c>
      <c r="H90" s="34" t="s">
        <v>384</v>
      </c>
      <c r="I90" s="35" t="str">
        <f>IF(Setup!C95&lt;&gt;"",Setup!C95,Setup!B95)</f>
        <v>Goal scored against</v>
      </c>
    </row>
    <row r="91" spans="1:9" x14ac:dyDescent="0.25">
      <c r="A91" s="34">
        <v>90</v>
      </c>
      <c r="B91" s="35" t="str">
        <f>Setup!B96</f>
        <v>Point</v>
      </c>
      <c r="C91" s="34" t="s">
        <v>62</v>
      </c>
      <c r="D91" s="35" t="s">
        <v>62</v>
      </c>
      <c r="E91" s="35" t="s">
        <v>385</v>
      </c>
      <c r="F91" s="35" t="s">
        <v>386</v>
      </c>
      <c r="G91" s="35" t="s">
        <v>387</v>
      </c>
      <c r="H91" s="34" t="s">
        <v>388</v>
      </c>
      <c r="I91" s="35" t="str">
        <f>IF(Setup!C96&lt;&gt;"",Setup!C96,Setup!B96)</f>
        <v>Point</v>
      </c>
    </row>
    <row r="92" spans="1:9" x14ac:dyDescent="0.25">
      <c r="A92" s="34">
        <v>91</v>
      </c>
      <c r="B92" s="35" t="str">
        <f>Setup!B97</f>
        <v>Second place</v>
      </c>
      <c r="C92" s="34" t="s">
        <v>63</v>
      </c>
      <c r="D92" s="35" t="s">
        <v>389</v>
      </c>
      <c r="E92" s="35" t="s">
        <v>390</v>
      </c>
      <c r="F92" s="35" t="s">
        <v>391</v>
      </c>
      <c r="G92" s="35" t="s">
        <v>392</v>
      </c>
      <c r="H92" s="34" t="s">
        <v>393</v>
      </c>
      <c r="I92" s="35" t="str">
        <f>IF(Setup!C97&lt;&gt;"",Setup!C97,Setup!B97)</f>
        <v>Second place</v>
      </c>
    </row>
    <row r="93" spans="1:9" x14ac:dyDescent="0.25">
      <c r="A93" s="34">
        <v>92</v>
      </c>
      <c r="B93" s="35" t="str">
        <f>Setup!B98</f>
        <v>Group A</v>
      </c>
      <c r="C93" s="34" t="s">
        <v>64</v>
      </c>
      <c r="D93" s="35" t="s">
        <v>394</v>
      </c>
      <c r="E93" s="35" t="s">
        <v>395</v>
      </c>
      <c r="F93" s="35" t="s">
        <v>396</v>
      </c>
      <c r="G93" s="35" t="s">
        <v>397</v>
      </c>
      <c r="H93" s="34" t="s">
        <v>397</v>
      </c>
      <c r="I93" s="35" t="str">
        <f>IF(Setup!C98&lt;&gt;"",Setup!C98,Setup!B98)</f>
        <v>Group A</v>
      </c>
    </row>
    <row r="94" spans="1:9" x14ac:dyDescent="0.25">
      <c r="A94" s="34">
        <v>93</v>
      </c>
      <c r="B94" s="35" t="str">
        <f>Setup!B99</f>
        <v>Group B</v>
      </c>
      <c r="C94" s="34" t="s">
        <v>65</v>
      </c>
      <c r="D94" s="35" t="s">
        <v>398</v>
      </c>
      <c r="E94" s="35" t="s">
        <v>399</v>
      </c>
      <c r="F94" s="35" t="s">
        <v>400</v>
      </c>
      <c r="G94" s="35" t="s">
        <v>401</v>
      </c>
      <c r="H94" s="34" t="s">
        <v>401</v>
      </c>
      <c r="I94" s="35" t="str">
        <f>IF(Setup!C99&lt;&gt;"",Setup!C99,Setup!B99)</f>
        <v>Group B</v>
      </c>
    </row>
    <row r="95" spans="1:9" x14ac:dyDescent="0.25">
      <c r="A95" s="34">
        <v>94</v>
      </c>
      <c r="B95" s="35" t="str">
        <f>Setup!B100</f>
        <v>Group C</v>
      </c>
      <c r="C95" s="34" t="s">
        <v>66</v>
      </c>
      <c r="D95" s="35" t="s">
        <v>402</v>
      </c>
      <c r="E95" s="35" t="s">
        <v>403</v>
      </c>
      <c r="F95" s="35" t="s">
        <v>404</v>
      </c>
      <c r="G95" s="35" t="s">
        <v>405</v>
      </c>
      <c r="H95" s="34" t="s">
        <v>405</v>
      </c>
      <c r="I95" s="35" t="str">
        <f>IF(Setup!C100&lt;&gt;"",Setup!C100,Setup!B100)</f>
        <v>Group C</v>
      </c>
    </row>
    <row r="96" spans="1:9" x14ac:dyDescent="0.25">
      <c r="A96" s="34">
        <v>95</v>
      </c>
      <c r="B96" s="35" t="str">
        <f>Setup!B101</f>
        <v>Group D</v>
      </c>
      <c r="C96" s="34" t="s">
        <v>67</v>
      </c>
      <c r="D96" s="35" t="s">
        <v>406</v>
      </c>
      <c r="E96" s="35" t="s">
        <v>407</v>
      </c>
      <c r="F96" s="35" t="s">
        <v>408</v>
      </c>
      <c r="G96" s="35" t="s">
        <v>409</v>
      </c>
      <c r="H96" s="34" t="s">
        <v>409</v>
      </c>
      <c r="I96" s="35" t="str">
        <f>IF(Setup!C101&lt;&gt;"",Setup!C101,Setup!B101)</f>
        <v>Group D</v>
      </c>
    </row>
    <row r="97" spans="1:9" x14ac:dyDescent="0.25">
      <c r="A97" s="34">
        <v>96</v>
      </c>
      <c r="B97" s="35" t="str">
        <f>Setup!B102</f>
        <v>Group E</v>
      </c>
      <c r="C97" s="34" t="s">
        <v>68</v>
      </c>
      <c r="D97" s="35" t="s">
        <v>410</v>
      </c>
      <c r="E97" s="35" t="s">
        <v>411</v>
      </c>
      <c r="F97" s="35" t="s">
        <v>412</v>
      </c>
      <c r="G97" s="35" t="s">
        <v>413</v>
      </c>
      <c r="H97" s="34" t="s">
        <v>413</v>
      </c>
      <c r="I97" s="35" t="str">
        <f>IF(Setup!C102&lt;&gt;"",Setup!C102,Setup!B102)</f>
        <v>Group E</v>
      </c>
    </row>
    <row r="98" spans="1:9" x14ac:dyDescent="0.25">
      <c r="A98" s="34">
        <v>97</v>
      </c>
      <c r="B98" s="35" t="str">
        <f>Setup!B103</f>
        <v>Group F</v>
      </c>
      <c r="C98" s="34" t="s">
        <v>69</v>
      </c>
      <c r="D98" s="35" t="s">
        <v>414</v>
      </c>
      <c r="E98" s="35" t="s">
        <v>415</v>
      </c>
      <c r="F98" s="35" t="s">
        <v>416</v>
      </c>
      <c r="G98" s="35" t="s">
        <v>417</v>
      </c>
      <c r="H98" s="34" t="s">
        <v>417</v>
      </c>
      <c r="I98" s="35" t="str">
        <f>IF(Setup!C103&lt;&gt;"",Setup!C103,Setup!B103)</f>
        <v>Group F</v>
      </c>
    </row>
    <row r="99" spans="1:9" x14ac:dyDescent="0.25">
      <c r="A99" s="34">
        <v>98</v>
      </c>
      <c r="B99" s="35" t="str">
        <f>Setup!B104</f>
        <v>Group G</v>
      </c>
      <c r="C99" s="34" t="s">
        <v>70</v>
      </c>
      <c r="D99" s="35" t="s">
        <v>418</v>
      </c>
      <c r="E99" s="35" t="s">
        <v>419</v>
      </c>
      <c r="F99" s="35" t="s">
        <v>420</v>
      </c>
      <c r="G99" s="35" t="s">
        <v>421</v>
      </c>
      <c r="H99" s="34" t="s">
        <v>421</v>
      </c>
      <c r="I99" s="35" t="str">
        <f>IF(Setup!C104&lt;&gt;"",Setup!C104,Setup!B104)</f>
        <v>Group G</v>
      </c>
    </row>
    <row r="100" spans="1:9" x14ac:dyDescent="0.25">
      <c r="A100" s="34">
        <v>99</v>
      </c>
      <c r="B100" s="35" t="str">
        <f>Setup!B105</f>
        <v>Group H</v>
      </c>
      <c r="C100" s="34" t="s">
        <v>71</v>
      </c>
      <c r="D100" s="35" t="s">
        <v>422</v>
      </c>
      <c r="E100" s="35" t="s">
        <v>423</v>
      </c>
      <c r="F100" s="35" t="s">
        <v>424</v>
      </c>
      <c r="G100" s="35" t="s">
        <v>425</v>
      </c>
      <c r="H100" s="34" t="s">
        <v>425</v>
      </c>
      <c r="I100" s="35" t="str">
        <f>IF(Setup!C105&lt;&gt;"",Setup!C105,Setup!B105)</f>
        <v>Group H</v>
      </c>
    </row>
    <row r="101" spans="1:9" x14ac:dyDescent="0.25">
      <c r="A101" s="34">
        <v>100</v>
      </c>
      <c r="B101" s="35" t="str">
        <f>Setup!B106</f>
        <v>Match 49 Winner</v>
      </c>
      <c r="C101" s="34" t="s">
        <v>72</v>
      </c>
      <c r="D101" s="35" t="s">
        <v>426</v>
      </c>
      <c r="E101" s="35" t="s">
        <v>427</v>
      </c>
      <c r="F101" s="35" t="s">
        <v>428</v>
      </c>
      <c r="G101" s="35" t="s">
        <v>429</v>
      </c>
      <c r="H101" s="34" t="s">
        <v>430</v>
      </c>
      <c r="I101" s="35" t="str">
        <f>IF(Setup!C106&lt;&gt;"",Setup!C106,Setup!B106)</f>
        <v>Match 49 Winner</v>
      </c>
    </row>
    <row r="102" spans="1:9" x14ac:dyDescent="0.25">
      <c r="A102" s="34">
        <v>101</v>
      </c>
      <c r="B102" s="35" t="str">
        <f>Setup!B107</f>
        <v>Match 50 Winner</v>
      </c>
      <c r="C102" s="34" t="s">
        <v>73</v>
      </c>
      <c r="D102" s="35" t="s">
        <v>431</v>
      </c>
      <c r="E102" s="35" t="s">
        <v>432</v>
      </c>
      <c r="F102" s="35" t="s">
        <v>433</v>
      </c>
      <c r="G102" s="35" t="s">
        <v>434</v>
      </c>
      <c r="H102" s="34" t="s">
        <v>435</v>
      </c>
      <c r="I102" s="35" t="str">
        <f>IF(Setup!C107&lt;&gt;"",Setup!C107,Setup!B107)</f>
        <v>Match 50 Winner</v>
      </c>
    </row>
    <row r="103" spans="1:9" x14ac:dyDescent="0.25">
      <c r="A103" s="34">
        <v>102</v>
      </c>
      <c r="B103" s="35" t="str">
        <f>Setup!B108</f>
        <v>Match 51 Winner</v>
      </c>
      <c r="C103" s="34" t="s">
        <v>74</v>
      </c>
      <c r="D103" s="35" t="s">
        <v>436</v>
      </c>
      <c r="E103" s="35" t="s">
        <v>437</v>
      </c>
      <c r="F103" s="35" t="s">
        <v>438</v>
      </c>
      <c r="G103" s="35" t="s">
        <v>439</v>
      </c>
      <c r="H103" s="34" t="s">
        <v>440</v>
      </c>
      <c r="I103" s="35" t="str">
        <f>IF(Setup!C108&lt;&gt;"",Setup!C108,Setup!B108)</f>
        <v>Match 51 Winner</v>
      </c>
    </row>
    <row r="104" spans="1:9" x14ac:dyDescent="0.25">
      <c r="A104" s="34">
        <v>103</v>
      </c>
      <c r="B104" s="35" t="str">
        <f>Setup!B109</f>
        <v>Match 52 Winner</v>
      </c>
      <c r="C104" s="34" t="s">
        <v>75</v>
      </c>
      <c r="D104" s="35" t="s">
        <v>441</v>
      </c>
      <c r="E104" s="35" t="s">
        <v>442</v>
      </c>
      <c r="F104" s="35" t="s">
        <v>443</v>
      </c>
      <c r="G104" s="35" t="s">
        <v>444</v>
      </c>
      <c r="H104" s="34" t="s">
        <v>445</v>
      </c>
      <c r="I104" s="35" t="str">
        <f>IF(Setup!C109&lt;&gt;"",Setup!C109,Setup!B109)</f>
        <v>Match 52 Winner</v>
      </c>
    </row>
    <row r="105" spans="1:9" x14ac:dyDescent="0.25">
      <c r="A105" s="34">
        <v>104</v>
      </c>
      <c r="B105" s="35" t="str">
        <f>Setup!B110</f>
        <v>Match 61 Loser</v>
      </c>
      <c r="C105" s="34" t="s">
        <v>76</v>
      </c>
      <c r="D105" s="35" t="s">
        <v>446</v>
      </c>
      <c r="E105" s="35" t="s">
        <v>447</v>
      </c>
      <c r="F105" s="35" t="s">
        <v>448</v>
      </c>
      <c r="G105" s="35" t="s">
        <v>449</v>
      </c>
      <c r="H105" s="34" t="s">
        <v>450</v>
      </c>
      <c r="I105" s="35" t="str">
        <f>IF(Setup!C110&lt;&gt;"",Setup!C110,Setup!B110)</f>
        <v>Match 61 Loser</v>
      </c>
    </row>
    <row r="106" spans="1:9" x14ac:dyDescent="0.25">
      <c r="A106" s="34">
        <v>105</v>
      </c>
      <c r="B106" s="35" t="str">
        <f>Setup!B111</f>
        <v>Match 62 Loser</v>
      </c>
      <c r="C106" s="34" t="s">
        <v>77</v>
      </c>
      <c r="D106" s="35" t="s">
        <v>451</v>
      </c>
      <c r="E106" s="35" t="s">
        <v>452</v>
      </c>
      <c r="F106" s="35" t="s">
        <v>453</v>
      </c>
      <c r="G106" s="35" t="s">
        <v>454</v>
      </c>
      <c r="H106" s="34" t="s">
        <v>455</v>
      </c>
      <c r="I106" s="35" t="str">
        <f>IF(Setup!C111&lt;&gt;"",Setup!C111,Setup!B111)</f>
        <v>Match 62 Loser</v>
      </c>
    </row>
    <row r="107" spans="1:9" x14ac:dyDescent="0.25">
      <c r="A107" s="34">
        <v>106</v>
      </c>
      <c r="B107" s="35" t="str">
        <f>Setup!B112</f>
        <v>Venue</v>
      </c>
      <c r="C107" s="34" t="s">
        <v>78</v>
      </c>
      <c r="D107" s="35" t="s">
        <v>456</v>
      </c>
      <c r="E107" s="35" t="s">
        <v>457</v>
      </c>
      <c r="F107" s="35" t="s">
        <v>458</v>
      </c>
      <c r="G107" s="35" t="s">
        <v>459</v>
      </c>
      <c r="H107" s="34" t="s">
        <v>460</v>
      </c>
      <c r="I107" s="35" t="str">
        <f>IF(Setup!C112&lt;&gt;"",Setup!C112,Setup!B112)</f>
        <v>Venue</v>
      </c>
    </row>
    <row r="108" spans="1:9" x14ac:dyDescent="0.25">
      <c r="A108" s="34">
        <v>107</v>
      </c>
      <c r="B108" s="35" t="str">
        <f>Setup!B113</f>
        <v>Club World Cup 2025 Fixtures</v>
      </c>
      <c r="C108" s="34" t="s">
        <v>636</v>
      </c>
      <c r="D108" s="35" t="s">
        <v>461</v>
      </c>
      <c r="E108" s="35" t="s">
        <v>462</v>
      </c>
      <c r="F108" s="35" t="s">
        <v>463</v>
      </c>
      <c r="G108" s="35" t="s">
        <v>464</v>
      </c>
      <c r="H108" s="34" t="s">
        <v>465</v>
      </c>
      <c r="I108" s="35" t="str">
        <f>IF(Setup!C113&lt;&gt;"",Setup!C113,Setup!B113)</f>
        <v>Club World Cup 2025 Fixtures</v>
      </c>
    </row>
    <row r="109" spans="1:9" x14ac:dyDescent="0.25">
      <c r="A109" s="34">
        <v>108</v>
      </c>
      <c r="B109" s="35" t="str">
        <f>Setup!B114</f>
        <v>Club World Cup 2025 Champion</v>
      </c>
      <c r="C109" s="34" t="s">
        <v>637</v>
      </c>
      <c r="D109" s="35" t="s">
        <v>466</v>
      </c>
      <c r="E109" s="35" t="s">
        <v>467</v>
      </c>
      <c r="F109" s="35" t="s">
        <v>468</v>
      </c>
      <c r="G109" s="35" t="s">
        <v>469</v>
      </c>
      <c r="H109" s="34" t="s">
        <v>470</v>
      </c>
      <c r="I109" s="35" t="str">
        <f>IF(Setup!C114&lt;&gt;"",Setup!C114,Setup!B114)</f>
        <v>Club World Cup 2025 Champion</v>
      </c>
    </row>
    <row r="110" spans="1:9" x14ac:dyDescent="0.25">
      <c r="A110" s="34">
        <v>109</v>
      </c>
      <c r="B110" s="35" t="str">
        <f>Setup!B115</f>
        <v>Club World Cup 2025 Runner Up</v>
      </c>
      <c r="C110" s="35" t="s">
        <v>638</v>
      </c>
      <c r="D110" s="35"/>
      <c r="E110" s="35"/>
      <c r="F110" s="35"/>
      <c r="G110" s="35"/>
      <c r="H110" s="34"/>
      <c r="I110" s="35" t="str">
        <f>IF(Setup!C115&lt;&gt;"",Setup!C115,Setup!B115)</f>
        <v>Club World Cup 2025 Runner Up</v>
      </c>
    </row>
    <row r="111" spans="1:9" x14ac:dyDescent="0.25">
      <c r="A111" s="34">
        <v>110</v>
      </c>
      <c r="B111" s="35" t="str">
        <f>Setup!B116</f>
        <v>Club World Cup 2025 3rd Place</v>
      </c>
      <c r="C111" s="35" t="s">
        <v>639</v>
      </c>
      <c r="D111" s="35"/>
      <c r="E111" s="35"/>
      <c r="F111" s="35"/>
      <c r="G111" s="35"/>
      <c r="H111" s="34"/>
      <c r="I111" s="35" t="str">
        <f>IF(Setup!C116&lt;&gt;"",Setup!C116,Setup!B116)</f>
        <v>Club World Cup 2025 3rd Place</v>
      </c>
    </row>
  </sheetData>
  <sheetProtection selectLockedCells="1" selectUnlockedCells="1"/>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R12"/>
  <sheetViews>
    <sheetView showGridLines="0" workbookViewId="0">
      <pane ySplit="2" topLeftCell="A3" activePane="bottomLeft" state="frozen"/>
      <selection pane="bottomLeft" activeCell="G13" sqref="G13"/>
    </sheetView>
  </sheetViews>
  <sheetFormatPr defaultRowHeight="12.75" x14ac:dyDescent="0.2"/>
  <cols>
    <col min="1" max="1" width="1.5703125" customWidth="1"/>
  </cols>
  <sheetData>
    <row r="1" spans="2:96" s="64" customFormat="1" ht="5.0999999999999996" customHeight="1" x14ac:dyDescent="0.2"/>
    <row r="2" spans="2:96" s="1" customFormat="1" ht="36" x14ac:dyDescent="0.2">
      <c r="B2" s="17" t="s">
        <v>496</v>
      </c>
      <c r="D2" s="3"/>
      <c r="F2" s="4"/>
      <c r="G2" s="4"/>
      <c r="J2" s="4"/>
      <c r="K2" s="5"/>
      <c r="L2" s="5"/>
      <c r="M2" s="5"/>
      <c r="O2" s="6"/>
      <c r="P2" s="6"/>
      <c r="Q2" s="6"/>
      <c r="R2" s="6"/>
      <c r="S2" s="6"/>
      <c r="X2" s="7"/>
      <c r="Y2" s="45"/>
      <c r="CO2" s="11"/>
      <c r="CP2" s="11"/>
      <c r="CQ2" s="11"/>
      <c r="CR2" s="11"/>
    </row>
    <row r="12" spans="2:96" x14ac:dyDescent="0.2">
      <c r="G12" s="18" t="s">
        <v>653</v>
      </c>
    </row>
  </sheetData>
  <sheetProtection algorithmName="SHA-512" hashValue="NaW2IXGYrXeLXAqjLEe2sHTb10p/tLQcsSREc+ZKmjVRVFzXFMAuMlCDTNQO9lPLfwX8Mqoc/XUOHHWB5RcMwA==" saltValue="5y/1PMCjdY2CTu9Wy/FxQA==" spinCount="100000" sheet="1" objects="1" scenarios="1" selectLockedCells="1" selectUn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Q24"/>
  <sheetViews>
    <sheetView showGridLines="0" workbookViewId="0">
      <pane ySplit="3" topLeftCell="A4" activePane="bottomLeft" state="frozen"/>
      <selection pane="bottomLeft" activeCell="E2" sqref="E2"/>
    </sheetView>
  </sheetViews>
  <sheetFormatPr defaultRowHeight="12.75" x14ac:dyDescent="0.2"/>
  <cols>
    <col min="1" max="1" width="1.5703125" customWidth="1"/>
    <col min="2" max="2" width="2.42578125" customWidth="1"/>
    <col min="3" max="3" width="12.140625" customWidth="1"/>
    <col min="4" max="4" width="2.140625" customWidth="1"/>
    <col min="5" max="5" width="31.5703125" customWidth="1"/>
    <col min="6" max="6" width="20.42578125" customWidth="1"/>
    <col min="7" max="7" width="17.5703125" customWidth="1"/>
    <col min="8" max="9" width="4.7109375" customWidth="1"/>
    <col min="10" max="12" width="14.7109375" style="75" customWidth="1"/>
  </cols>
  <sheetData>
    <row r="1" spans="2:95" s="215" customFormat="1" ht="5.0999999999999996" customHeight="1" x14ac:dyDescent="0.25">
      <c r="D1" s="216"/>
      <c r="E1" s="217"/>
      <c r="F1" s="218"/>
      <c r="Q1" s="219"/>
      <c r="R1" s="219"/>
      <c r="S1" s="219"/>
      <c r="T1" s="219"/>
      <c r="U1" s="219"/>
      <c r="V1" s="219"/>
      <c r="W1" s="220"/>
      <c r="X1" s="220"/>
      <c r="CN1" s="219"/>
      <c r="CO1" s="219"/>
      <c r="CP1" s="219"/>
      <c r="CQ1" s="219"/>
    </row>
    <row r="2" spans="2:95" s="1" customFormat="1" ht="36" x14ac:dyDescent="0.25">
      <c r="B2" s="17" t="s">
        <v>497</v>
      </c>
      <c r="D2" s="3"/>
      <c r="F2" s="4"/>
      <c r="I2" s="4"/>
      <c r="J2" s="25"/>
      <c r="K2" s="25"/>
      <c r="L2" s="25"/>
      <c r="N2" s="6"/>
      <c r="O2" s="6"/>
      <c r="P2" s="6"/>
      <c r="Q2" s="6"/>
      <c r="R2" s="6"/>
      <c r="CN2" s="11"/>
      <c r="CO2" s="11"/>
      <c r="CP2" s="11"/>
      <c r="CQ2" s="11"/>
    </row>
    <row r="3" spans="2:95" ht="5.0999999999999996" customHeight="1" thickBot="1" x14ac:dyDescent="0.3">
      <c r="J3" s="25"/>
      <c r="K3" s="25"/>
      <c r="L3" s="25"/>
    </row>
    <row r="4" spans="2:95" ht="15.75" thickTop="1" x14ac:dyDescent="0.25">
      <c r="B4" s="65"/>
      <c r="C4" s="65"/>
      <c r="D4" s="65"/>
      <c r="E4" s="65"/>
      <c r="F4" s="65"/>
      <c r="G4" s="65"/>
      <c r="H4" s="66"/>
      <c r="J4" s="76"/>
      <c r="K4" s="77"/>
      <c r="L4" s="78"/>
    </row>
    <row r="5" spans="2:95" ht="28.5" x14ac:dyDescent="0.45">
      <c r="B5" s="65"/>
      <c r="C5" s="67" t="s">
        <v>508</v>
      </c>
      <c r="D5" s="65"/>
      <c r="E5" s="68"/>
      <c r="F5" s="69" t="s">
        <v>498</v>
      </c>
      <c r="G5" s="66"/>
      <c r="H5" s="70"/>
      <c r="J5" s="79"/>
      <c r="L5" s="80"/>
    </row>
    <row r="6" spans="2:95" ht="15" customHeight="1" x14ac:dyDescent="0.25">
      <c r="B6" s="65"/>
      <c r="C6" s="65"/>
      <c r="D6" s="65"/>
      <c r="E6" s="68"/>
      <c r="F6" s="68"/>
      <c r="G6" s="66"/>
      <c r="H6" s="70"/>
      <c r="J6" s="79"/>
      <c r="L6" s="80"/>
    </row>
    <row r="7" spans="2:95" ht="15" customHeight="1" x14ac:dyDescent="0.25">
      <c r="B7" s="65"/>
      <c r="C7" s="65" t="s">
        <v>499</v>
      </c>
      <c r="D7" s="65" t="s">
        <v>123</v>
      </c>
      <c r="E7" s="65" t="s">
        <v>640</v>
      </c>
      <c r="F7" s="186" t="s">
        <v>652</v>
      </c>
      <c r="G7" s="187"/>
      <c r="H7" s="70"/>
      <c r="J7" s="79"/>
      <c r="L7" s="80"/>
    </row>
    <row r="8" spans="2:95" ht="15" customHeight="1" x14ac:dyDescent="0.25">
      <c r="B8" s="65"/>
      <c r="C8" s="65" t="s">
        <v>500</v>
      </c>
      <c r="D8" s="65" t="s">
        <v>123</v>
      </c>
      <c r="E8" s="71" t="s">
        <v>674</v>
      </c>
      <c r="F8" s="259" t="s">
        <v>675</v>
      </c>
      <c r="G8" s="259"/>
      <c r="H8" s="70"/>
      <c r="J8" s="79"/>
      <c r="L8" s="80"/>
    </row>
    <row r="9" spans="2:95" ht="15" customHeight="1" x14ac:dyDescent="0.25">
      <c r="B9" s="65"/>
      <c r="C9" s="65" t="s">
        <v>501</v>
      </c>
      <c r="D9" s="65" t="s">
        <v>123</v>
      </c>
      <c r="E9" s="65" t="s">
        <v>502</v>
      </c>
      <c r="F9" s="259"/>
      <c r="G9" s="259"/>
      <c r="H9" s="70"/>
      <c r="J9" s="79"/>
      <c r="L9" s="80"/>
    </row>
    <row r="10" spans="2:95" ht="15" customHeight="1" x14ac:dyDescent="0.25">
      <c r="B10" s="65"/>
      <c r="C10" s="65" t="s">
        <v>503</v>
      </c>
      <c r="D10" s="65" t="s">
        <v>123</v>
      </c>
      <c r="E10" s="72" t="s">
        <v>504</v>
      </c>
      <c r="F10" s="257" t="s">
        <v>671</v>
      </c>
      <c r="G10" s="257"/>
      <c r="H10" s="70"/>
      <c r="J10" s="79"/>
      <c r="L10" s="80"/>
    </row>
    <row r="11" spans="2:95" ht="15" customHeight="1" x14ac:dyDescent="0.25">
      <c r="B11" s="65"/>
      <c r="C11" s="65" t="s">
        <v>505</v>
      </c>
      <c r="D11" s="65" t="s">
        <v>123</v>
      </c>
      <c r="E11" s="73" t="s">
        <v>506</v>
      </c>
      <c r="F11" s="258" t="s">
        <v>672</v>
      </c>
      <c r="G11" s="258"/>
      <c r="H11" s="70"/>
      <c r="J11" s="250" t="s">
        <v>650</v>
      </c>
      <c r="K11" s="251"/>
      <c r="L11" s="252"/>
    </row>
    <row r="12" spans="2:95" ht="15" customHeight="1" x14ac:dyDescent="0.25">
      <c r="B12" s="65"/>
      <c r="C12" s="65" t="s">
        <v>507</v>
      </c>
      <c r="D12" s="65" t="s">
        <v>123</v>
      </c>
      <c r="E12" s="74" t="s">
        <v>651</v>
      </c>
      <c r="F12" s="258"/>
      <c r="G12" s="258"/>
      <c r="H12" s="70"/>
      <c r="J12" s="188"/>
      <c r="K12" s="253" t="s">
        <v>666</v>
      </c>
      <c r="L12" s="189"/>
    </row>
    <row r="13" spans="2:95" ht="15" customHeight="1" thickBot="1" x14ac:dyDescent="0.3">
      <c r="B13" s="65"/>
      <c r="C13" s="65"/>
      <c r="D13" s="65"/>
      <c r="E13" s="65"/>
      <c r="F13" s="65"/>
      <c r="G13" s="66"/>
      <c r="H13" s="70"/>
      <c r="J13" s="190"/>
      <c r="K13" s="254"/>
      <c r="L13" s="191"/>
    </row>
    <row r="14" spans="2:95" ht="13.5" thickTop="1" x14ac:dyDescent="0.2"/>
    <row r="15" spans="2:95" ht="15.75" x14ac:dyDescent="0.25">
      <c r="B15" s="255" t="s">
        <v>510</v>
      </c>
      <c r="C15" s="255"/>
      <c r="D15" s="255"/>
      <c r="E15" s="255"/>
      <c r="F15" s="255"/>
      <c r="G15" s="255"/>
      <c r="H15" s="255"/>
      <c r="I15" s="193" t="s">
        <v>654</v>
      </c>
      <c r="J15" s="33"/>
      <c r="K15" s="33"/>
    </row>
    <row r="16" spans="2:95" ht="15" x14ac:dyDescent="0.25">
      <c r="I16" s="33">
        <v>1</v>
      </c>
      <c r="J16" s="33" t="s">
        <v>655</v>
      </c>
      <c r="K16" s="33"/>
    </row>
    <row r="17" spans="2:11" ht="15" x14ac:dyDescent="0.25">
      <c r="B17" s="33" t="s">
        <v>664</v>
      </c>
      <c r="I17" s="33">
        <v>2</v>
      </c>
      <c r="J17" s="33" t="s">
        <v>656</v>
      </c>
      <c r="K17" s="33"/>
    </row>
    <row r="18" spans="2:11" ht="15" x14ac:dyDescent="0.25">
      <c r="B18" s="256" t="s">
        <v>665</v>
      </c>
      <c r="C18" s="256"/>
      <c r="D18" s="256"/>
      <c r="E18" s="256"/>
      <c r="F18" s="256"/>
      <c r="G18" s="256"/>
      <c r="H18" s="256"/>
      <c r="I18" s="33">
        <v>3</v>
      </c>
      <c r="J18" s="33" t="s">
        <v>657</v>
      </c>
      <c r="K18" s="33"/>
    </row>
    <row r="19" spans="2:11" ht="15" x14ac:dyDescent="0.25">
      <c r="I19" s="33">
        <v>4</v>
      </c>
      <c r="J19" s="33" t="s">
        <v>658</v>
      </c>
      <c r="K19" s="33"/>
    </row>
    <row r="20" spans="2:11" ht="15" x14ac:dyDescent="0.25">
      <c r="I20" s="33">
        <v>5</v>
      </c>
      <c r="J20" s="33" t="s">
        <v>659</v>
      </c>
      <c r="K20" s="33"/>
    </row>
    <row r="21" spans="2:11" ht="15" x14ac:dyDescent="0.25">
      <c r="I21" s="33">
        <v>6</v>
      </c>
      <c r="J21" s="33" t="s">
        <v>660</v>
      </c>
      <c r="K21" s="33"/>
    </row>
    <row r="22" spans="2:11" ht="15" x14ac:dyDescent="0.25">
      <c r="I22" s="33">
        <v>7</v>
      </c>
      <c r="J22" s="33" t="s">
        <v>661</v>
      </c>
      <c r="K22" s="33"/>
    </row>
    <row r="23" spans="2:11" ht="15" x14ac:dyDescent="0.25">
      <c r="I23" s="33">
        <v>8</v>
      </c>
      <c r="J23" s="33" t="s">
        <v>662</v>
      </c>
    </row>
    <row r="24" spans="2:11" ht="15" x14ac:dyDescent="0.25">
      <c r="I24" s="33">
        <v>9</v>
      </c>
      <c r="J24" s="33" t="s">
        <v>663</v>
      </c>
    </row>
  </sheetData>
  <sheetProtection algorithmName="SHA-512" hashValue="yMYmCfmK9xSwEheT9yDuTO/B65pGIo4O87YbHCiPGz7WrK6Soyt7lWRsBFnWlFQn3gPSAivrQ1vKqlDPSqkPOQ==" saltValue="0gTjpeP/gbaUfs/pi40gYQ==" spinCount="100000" sheet="1" objects="1" scenarios="1"/>
  <mergeCells count="7">
    <mergeCell ref="F8:G9"/>
    <mergeCell ref="J11:L11"/>
    <mergeCell ref="K12:K13"/>
    <mergeCell ref="B15:H15"/>
    <mergeCell ref="B18:H18"/>
    <mergeCell ref="F10:G10"/>
    <mergeCell ref="F11:G12"/>
  </mergeCells>
  <hyperlinks>
    <hyperlink ref="B15:H15" r:id="rId1" display="Get more sport spreadsheets in journalSHEET.com" xr:uid="{00000000-0004-0000-0500-000000000000}"/>
    <hyperlink ref="B18" r:id="rId2" xr:uid="{FE909CB9-E273-4162-B0A6-D3B9CB408957}"/>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19</vt:i4>
      </vt:variant>
    </vt:vector>
  </HeadingPairs>
  <TitlesOfParts>
    <vt:vector size="25" baseType="lpstr">
      <vt:lpstr>Setup</vt:lpstr>
      <vt:lpstr>Matches</vt:lpstr>
      <vt:lpstr>Calculator</vt:lpstr>
      <vt:lpstr>Language</vt:lpstr>
      <vt:lpstr>License</vt:lpstr>
      <vt:lpstr>About</vt:lpstr>
      <vt:lpstr>about</vt:lpstr>
      <vt:lpstr>Countries</vt:lpstr>
      <vt:lpstr>GroupA</vt:lpstr>
      <vt:lpstr>GroupB</vt:lpstr>
      <vt:lpstr>GroupC</vt:lpstr>
      <vt:lpstr>GroupD</vt:lpstr>
      <vt:lpstr>GroupE</vt:lpstr>
      <vt:lpstr>GroupF</vt:lpstr>
      <vt:lpstr>GroupG</vt:lpstr>
      <vt:lpstr>GroupH</vt:lpstr>
      <vt:lpstr>LanguageRef</vt:lpstr>
      <vt:lpstr>Matches!Print_Area</vt:lpstr>
      <vt:lpstr>Setup!Print_Area</vt:lpstr>
      <vt:lpstr>Matches!Print_Titles</vt:lpstr>
      <vt:lpstr>Team</vt:lpstr>
      <vt:lpstr>TimeZoneData</vt:lpstr>
      <vt:lpstr>TimeZoneList</vt:lpstr>
      <vt:lpstr>Translation</vt:lpstr>
      <vt:lpstr>TransRef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journalSHEET.com</dc:creator>
  <cp:lastModifiedBy>User</cp:lastModifiedBy>
  <cp:lastPrinted>2025-04-30T03:55:28Z</cp:lastPrinted>
  <dcterms:created xsi:type="dcterms:W3CDTF">2022-06-15T04:56:38Z</dcterms:created>
  <dcterms:modified xsi:type="dcterms:W3CDTF">2025-06-12T00:02:13Z</dcterms:modified>
</cp:coreProperties>
</file>